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66925"/>
  <xr:revisionPtr revIDLastSave="0" documentId="13_ncr:1_{64AB4070-B8C5-4EF6-9983-B28AF167BC44}" xr6:coauthVersionLast="36" xr6:coauthVersionMax="36" xr10:uidLastSave="{00000000-0000-0000-0000-000000000000}"/>
  <bookViews>
    <workbookView xWindow="0" yWindow="0" windowWidth="23040" windowHeight="8484" activeTab="2" xr2:uid="{CAAE2679-390D-4C1E-B1D6-329A6ECE0392}"/>
  </bookViews>
  <sheets>
    <sheet name="Súhrn" sheetId="2" r:id="rId1"/>
    <sheet name="Príjmy" sheetId="1" r:id="rId2"/>
    <sheet name="Výdavky" sheetId="3" r:id="rId3"/>
  </sheets>
  <externalReferences>
    <externalReference r:id="rId4"/>
    <externalReference r:id="rId5"/>
    <externalReference r:id="rId6"/>
    <externalReference r:id="rId7"/>
  </externalReferences>
  <definedNames>
    <definedName name="_xlnm.Print_Area" localSheetId="1">Príjmy!$B$46:$M$74</definedName>
    <definedName name="_xlnm.Print_Area" localSheetId="2">Výdavky!$F$100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9" i="3" l="1"/>
  <c r="G14" i="2" l="1"/>
  <c r="G20" i="2"/>
  <c r="G10" i="2"/>
  <c r="G8" i="2"/>
  <c r="G7" i="2"/>
  <c r="G6" i="2"/>
  <c r="N205" i="3"/>
  <c r="J17" i="2" s="1"/>
  <c r="N221" i="3" l="1"/>
  <c r="M221" i="3"/>
  <c r="L221" i="3"/>
  <c r="N51" i="3" l="1"/>
  <c r="N52" i="3" s="1"/>
  <c r="M51" i="3"/>
  <c r="N210" i="3"/>
  <c r="D10" i="2" l="1"/>
  <c r="D8" i="2"/>
  <c r="D7" i="2"/>
  <c r="D6" i="2"/>
  <c r="I216" i="3"/>
  <c r="I222" i="3" s="1"/>
  <c r="D20" i="2" s="1"/>
  <c r="H160" i="3" l="1"/>
  <c r="N160" i="3"/>
  <c r="M160" i="3"/>
  <c r="L160" i="3"/>
  <c r="M90" i="3"/>
  <c r="L90" i="3"/>
  <c r="H90" i="3"/>
  <c r="L31" i="3" l="1"/>
  <c r="K10" i="3" l="1"/>
  <c r="K11" i="3"/>
  <c r="K72" i="3"/>
  <c r="K31" i="3"/>
  <c r="K196" i="3"/>
  <c r="K187" i="3"/>
  <c r="K205" i="3" s="1"/>
  <c r="G17" i="2" s="1"/>
  <c r="K182" i="3"/>
  <c r="K176" i="3"/>
  <c r="K160" i="3"/>
  <c r="K149" i="3"/>
  <c r="K142" i="3"/>
  <c r="K132" i="3"/>
  <c r="K125" i="3"/>
  <c r="K115" i="3"/>
  <c r="K105" i="3"/>
  <c r="K96" i="3"/>
  <c r="K90" i="3"/>
  <c r="K62" i="3"/>
  <c r="K57" i="3"/>
  <c r="K210" i="3"/>
  <c r="G18" i="2" s="1"/>
  <c r="K52" i="3"/>
  <c r="K38" i="3"/>
  <c r="K16" i="3" l="1"/>
  <c r="K183" i="3" s="1"/>
  <c r="G16" i="2" s="1"/>
  <c r="G23" i="2" s="1"/>
  <c r="G25" i="2" s="1"/>
  <c r="K72" i="1"/>
  <c r="K64" i="1"/>
  <c r="K54" i="1"/>
  <c r="K5" i="1"/>
  <c r="K45" i="1" s="1"/>
  <c r="K74" i="1" s="1"/>
  <c r="K7" i="1"/>
  <c r="K224" i="3" l="1"/>
  <c r="M222" i="3"/>
  <c r="N222" i="3"/>
  <c r="L219" i="3"/>
  <c r="L216" i="3"/>
  <c r="L222" i="3" s="1"/>
  <c r="M72" i="1"/>
  <c r="I10" i="2" s="1"/>
  <c r="N72" i="1"/>
  <c r="J10" i="2" s="1"/>
  <c r="L72" i="1"/>
  <c r="J20" i="2" l="1"/>
  <c r="J18" i="2"/>
  <c r="I20" i="2"/>
  <c r="H20" i="2"/>
  <c r="J8" i="2"/>
  <c r="J7" i="2"/>
  <c r="H10" i="2"/>
  <c r="L64" i="1"/>
  <c r="H8" i="2" s="1"/>
  <c r="M64" i="1"/>
  <c r="I8" i="2" s="1"/>
  <c r="N64" i="1"/>
  <c r="M54" i="1"/>
  <c r="I7" i="2" s="1"/>
  <c r="L54" i="1"/>
  <c r="H7" i="2" s="1"/>
  <c r="N45" i="1"/>
  <c r="J6" i="2" s="1"/>
  <c r="N176" i="3"/>
  <c r="N142" i="3"/>
  <c r="N149" i="3"/>
  <c r="N132" i="3"/>
  <c r="N125" i="3"/>
  <c r="N115" i="3"/>
  <c r="M105" i="3"/>
  <c r="L105" i="3"/>
  <c r="N105" i="3"/>
  <c r="N96" i="3"/>
  <c r="N182" i="3"/>
  <c r="N90" i="3"/>
  <c r="N72" i="3"/>
  <c r="N38" i="3"/>
  <c r="L16" i="3"/>
  <c r="J14" i="2" l="1"/>
  <c r="N74" i="1"/>
  <c r="J5" i="1"/>
  <c r="J193" i="3"/>
  <c r="J94" i="3"/>
  <c r="J6" i="1"/>
  <c r="J216" i="3"/>
  <c r="J8" i="1" l="1"/>
  <c r="I6" i="3" l="1"/>
  <c r="M205" i="3" l="1"/>
  <c r="I17" i="2" s="1"/>
  <c r="J205" i="3"/>
  <c r="I105" i="3" l="1"/>
  <c r="H105" i="3"/>
  <c r="G105" i="3"/>
  <c r="I11" i="1"/>
  <c r="I93" i="3" l="1"/>
  <c r="I96" i="3" s="1"/>
  <c r="G156" i="3" l="1"/>
  <c r="G48" i="3"/>
  <c r="G45" i="1"/>
  <c r="M72" i="3" l="1"/>
  <c r="L72" i="3"/>
  <c r="J72" i="3"/>
  <c r="J62" i="3"/>
  <c r="H205" i="3" l="1"/>
  <c r="H72" i="3"/>
  <c r="H176" i="3"/>
  <c r="H48" i="3"/>
  <c r="H45" i="1"/>
  <c r="I64" i="1"/>
  <c r="E8" i="2" s="1"/>
  <c r="I54" i="1"/>
  <c r="E7" i="2" s="1"/>
  <c r="I13" i="1"/>
  <c r="I12" i="1"/>
  <c r="I210" i="3"/>
  <c r="I204" i="3"/>
  <c r="I198" i="3"/>
  <c r="I197" i="3"/>
  <c r="I71" i="3"/>
  <c r="I170" i="3"/>
  <c r="I169" i="3"/>
  <c r="E18" i="2" l="1"/>
  <c r="D18" i="2"/>
  <c r="I176" i="3"/>
  <c r="I205" i="3"/>
  <c r="I45" i="1"/>
  <c r="I74" i="1" s="1"/>
  <c r="I157" i="3"/>
  <c r="I156" i="3"/>
  <c r="I154" i="3"/>
  <c r="I153" i="3"/>
  <c r="I152" i="3"/>
  <c r="I141" i="3"/>
  <c r="I136" i="3"/>
  <c r="I135" i="3"/>
  <c r="I129" i="3"/>
  <c r="I132" i="3" s="1"/>
  <c r="I114" i="3"/>
  <c r="I110" i="3"/>
  <c r="I86" i="3"/>
  <c r="I85" i="3"/>
  <c r="I83" i="3"/>
  <c r="I82" i="3"/>
  <c r="I70" i="3"/>
  <c r="I68" i="3"/>
  <c r="I67" i="3"/>
  <c r="I66" i="3"/>
  <c r="I65" i="3"/>
  <c r="I62" i="3"/>
  <c r="I52" i="3"/>
  <c r="I27" i="3"/>
  <c r="I31" i="3" s="1"/>
  <c r="E17" i="2" l="1"/>
  <c r="D17" i="2"/>
  <c r="I160" i="3"/>
  <c r="E6" i="2"/>
  <c r="E14" i="2" s="1"/>
  <c r="I90" i="3"/>
  <c r="I72" i="3"/>
  <c r="I125" i="3"/>
  <c r="I142" i="3"/>
  <c r="I115" i="3"/>
  <c r="I38" i="3"/>
  <c r="I45" i="3"/>
  <c r="I47" i="3"/>
  <c r="I46" i="3"/>
  <c r="I43" i="3"/>
  <c r="I44" i="3"/>
  <c r="I41" i="3"/>
  <c r="I48" i="3" l="1"/>
  <c r="I16" i="3"/>
  <c r="J64" i="1"/>
  <c r="I183" i="3" l="1"/>
  <c r="F17" i="2"/>
  <c r="F8" i="2"/>
  <c r="F7" i="2"/>
  <c r="J222" i="3"/>
  <c r="F20" i="2" s="1"/>
  <c r="J68" i="1"/>
  <c r="J72" i="1" s="1"/>
  <c r="F10" i="2" s="1"/>
  <c r="I224" i="3" l="1"/>
  <c r="D16" i="2"/>
  <c r="E16" i="2"/>
  <c r="E23" i="2" s="1"/>
  <c r="E25" i="2" s="1"/>
  <c r="J209" i="3"/>
  <c r="J210" i="3" s="1"/>
  <c r="F18" i="2" s="1"/>
  <c r="J182" i="3"/>
  <c r="M176" i="3"/>
  <c r="L176" i="3"/>
  <c r="J169" i="3"/>
  <c r="J156" i="3"/>
  <c r="J155" i="3"/>
  <c r="J154" i="3"/>
  <c r="J149" i="3"/>
  <c r="J139" i="3"/>
  <c r="J137" i="3"/>
  <c r="L132" i="3"/>
  <c r="M132" i="3"/>
  <c r="J132" i="3"/>
  <c r="M122" i="3"/>
  <c r="L122" i="3"/>
  <c r="J122" i="3"/>
  <c r="M114" i="3"/>
  <c r="L114" i="3"/>
  <c r="J114" i="3"/>
  <c r="J113" i="3"/>
  <c r="J112" i="3"/>
  <c r="J111" i="3"/>
  <c r="J110" i="3"/>
  <c r="M93" i="3"/>
  <c r="M96" i="3" s="1"/>
  <c r="L93" i="3"/>
  <c r="L96" i="3" s="1"/>
  <c r="J93" i="3"/>
  <c r="J87" i="3"/>
  <c r="J86" i="3"/>
  <c r="J85" i="3"/>
  <c r="J84" i="3"/>
  <c r="J82" i="3"/>
  <c r="J52" i="3"/>
  <c r="J36" i="3"/>
  <c r="J35" i="3"/>
  <c r="J34" i="3"/>
  <c r="J96" i="3" l="1"/>
  <c r="J176" i="3"/>
  <c r="J90" i="3"/>
  <c r="J142" i="3"/>
  <c r="J125" i="3"/>
  <c r="J38" i="3"/>
  <c r="J115" i="3"/>
  <c r="M125" i="3"/>
  <c r="L125" i="3"/>
  <c r="J27" i="3"/>
  <c r="N25" i="3"/>
  <c r="N31" i="3" s="1"/>
  <c r="M25" i="3"/>
  <c r="J25" i="3"/>
  <c r="J24" i="3"/>
  <c r="J23" i="3"/>
  <c r="J21" i="3"/>
  <c r="M15" i="3"/>
  <c r="J15" i="3"/>
  <c r="N11" i="3"/>
  <c r="M11" i="3"/>
  <c r="J11" i="3"/>
  <c r="N10" i="3"/>
  <c r="M10" i="3"/>
  <c r="J10" i="3"/>
  <c r="M6" i="3"/>
  <c r="J6" i="3"/>
  <c r="J16" i="3" l="1"/>
  <c r="N16" i="3"/>
  <c r="N183" i="3" s="1"/>
  <c r="M16" i="3"/>
  <c r="J42" i="1"/>
  <c r="J36" i="1"/>
  <c r="J31" i="1"/>
  <c r="J30" i="1"/>
  <c r="J27" i="1"/>
  <c r="J26" i="1"/>
  <c r="J25" i="1"/>
  <c r="N224" i="3" l="1"/>
  <c r="J16" i="2"/>
  <c r="J45" i="1"/>
  <c r="F6" i="2" s="1"/>
  <c r="M45" i="1"/>
  <c r="L45" i="1"/>
  <c r="G86" i="3"/>
  <c r="G219" i="3"/>
  <c r="G217" i="3"/>
  <c r="G221" i="3"/>
  <c r="G218" i="3"/>
  <c r="J23" i="2" l="1"/>
  <c r="J25" i="2" s="1"/>
  <c r="M74" i="1"/>
  <c r="I6" i="2"/>
  <c r="I14" i="2" s="1"/>
  <c r="H6" i="2"/>
  <c r="H14" i="2" s="1"/>
  <c r="L74" i="1"/>
  <c r="F14" i="2"/>
  <c r="J74" i="1"/>
  <c r="M48" i="3"/>
  <c r="L48" i="3"/>
  <c r="G170" i="3"/>
  <c r="G154" i="3"/>
  <c r="G140" i="3"/>
  <c r="G138" i="3"/>
  <c r="G137" i="3"/>
  <c r="G129" i="3"/>
  <c r="G128" i="3"/>
  <c r="G124" i="3"/>
  <c r="G120" i="3"/>
  <c r="G119" i="3"/>
  <c r="G111" i="3"/>
  <c r="G110" i="3"/>
  <c r="M100" i="3"/>
  <c r="L100" i="3"/>
  <c r="H100" i="3"/>
  <c r="G100" i="3"/>
  <c r="G93" i="3"/>
  <c r="G85" i="3"/>
  <c r="G84" i="3"/>
  <c r="G36" i="3"/>
  <c r="G35" i="3"/>
  <c r="G24" i="3"/>
  <c r="G25" i="3"/>
  <c r="G20" i="3"/>
  <c r="G19" i="3"/>
  <c r="G11" i="3"/>
  <c r="G7" i="3"/>
  <c r="G68" i="1"/>
  <c r="G31" i="3" l="1"/>
  <c r="H219" i="3"/>
  <c r="H215" i="3"/>
  <c r="H71" i="1" l="1"/>
  <c r="H72" i="1" s="1"/>
  <c r="H20" i="3" l="1"/>
  <c r="H31" i="3" s="1"/>
  <c r="H16" i="3"/>
  <c r="H222" i="3" l="1"/>
  <c r="L142" i="3"/>
  <c r="M142" i="3"/>
  <c r="H142" i="3"/>
  <c r="H210" i="3" l="1"/>
  <c r="H182" i="3"/>
  <c r="H166" i="3"/>
  <c r="H149" i="3"/>
  <c r="H132" i="3"/>
  <c r="H125" i="3"/>
  <c r="H115" i="3"/>
  <c r="H96" i="3"/>
  <c r="H79" i="3"/>
  <c r="H62" i="3"/>
  <c r="H57" i="3"/>
  <c r="H52" i="3"/>
  <c r="H38" i="3"/>
  <c r="G222" i="3"/>
  <c r="C20" i="2" s="1"/>
  <c r="G210" i="3"/>
  <c r="C18" i="2" s="1"/>
  <c r="G205" i="3"/>
  <c r="C17" i="2" s="1"/>
  <c r="G182" i="3"/>
  <c r="G176" i="3"/>
  <c r="G166" i="3"/>
  <c r="G160" i="3"/>
  <c r="G149" i="3"/>
  <c r="G142" i="3"/>
  <c r="G132" i="3"/>
  <c r="G125" i="3"/>
  <c r="G115" i="3"/>
  <c r="G96" i="3"/>
  <c r="G90" i="3"/>
  <c r="G79" i="3"/>
  <c r="G72" i="3"/>
  <c r="G62" i="3"/>
  <c r="G57" i="3"/>
  <c r="G52" i="3"/>
  <c r="G38" i="3"/>
  <c r="G16" i="3"/>
  <c r="H64" i="1"/>
  <c r="H54" i="1"/>
  <c r="G72" i="1"/>
  <c r="C10" i="2" s="1"/>
  <c r="G64" i="1"/>
  <c r="C8" i="2" s="1"/>
  <c r="G54" i="1"/>
  <c r="C7" i="2" s="1"/>
  <c r="C6" i="2"/>
  <c r="M210" i="3"/>
  <c r="I18" i="2" s="1"/>
  <c r="M182" i="3"/>
  <c r="M166" i="3"/>
  <c r="M149" i="3"/>
  <c r="M115" i="3"/>
  <c r="M79" i="3"/>
  <c r="M62" i="3"/>
  <c r="M57" i="3"/>
  <c r="M52" i="3"/>
  <c r="M38" i="3"/>
  <c r="L182" i="3"/>
  <c r="L166" i="3"/>
  <c r="L62" i="3"/>
  <c r="L210" i="3"/>
  <c r="H18" i="2" s="1"/>
  <c r="L149" i="3"/>
  <c r="L115" i="3"/>
  <c r="L79" i="3"/>
  <c r="L57" i="3"/>
  <c r="L52" i="3"/>
  <c r="L38" i="3"/>
  <c r="H183" i="3" l="1"/>
  <c r="C14" i="2"/>
  <c r="G183" i="3"/>
  <c r="G224" i="3" s="1"/>
  <c r="G74" i="1"/>
  <c r="C16" i="2" l="1"/>
  <c r="C23" i="2" s="1"/>
  <c r="C25" i="2" s="1"/>
  <c r="H224" i="3" l="1"/>
  <c r="D23" i="2" l="1"/>
  <c r="H74" i="1"/>
  <c r="D14" i="2"/>
  <c r="D25" i="2" l="1"/>
  <c r="J157" i="3"/>
  <c r="J160" i="3" s="1"/>
  <c r="L183" i="3"/>
  <c r="H16" i="2" s="1"/>
  <c r="M31" i="3"/>
  <c r="M183" i="3" s="1"/>
  <c r="I16" i="2" s="1"/>
  <c r="I23" i="2" s="1"/>
  <c r="I25" i="2" s="1"/>
  <c r="J26" i="3"/>
  <c r="J31" i="3" s="1"/>
  <c r="J183" i="3" l="1"/>
  <c r="J224" i="3" s="1"/>
  <c r="M224" i="3"/>
  <c r="F16" i="2" l="1"/>
  <c r="F23" i="2" s="1"/>
  <c r="F25" i="2" s="1"/>
  <c r="L205" i="3"/>
  <c r="L224" i="3" s="1"/>
  <c r="H17" i="2" l="1"/>
  <c r="H23" i="2" s="1"/>
  <c r="H25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L28" authorId="0" shapeId="0" xr:uid="{1723BB7E-DD54-4B46-9F97-CC47A21B1828}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plánované odstupné pre starostu obce </t>
        </r>
      </text>
    </comment>
  </commentList>
</comments>
</file>

<file path=xl/sharedStrings.xml><?xml version="1.0" encoding="utf-8"?>
<sst xmlns="http://schemas.openxmlformats.org/spreadsheetml/2006/main" count="557" uniqueCount="250">
  <si>
    <t>Bežné príjmy</t>
  </si>
  <si>
    <t>Kapitálové príjmy</t>
  </si>
  <si>
    <t>Finančné príjmy</t>
  </si>
  <si>
    <t>RO - ZS príjmy</t>
  </si>
  <si>
    <t>RO - ZS a MS príjmy</t>
  </si>
  <si>
    <t>RO - SJ stravovací účet</t>
  </si>
  <si>
    <t>RO - SJ stravovací účet - FO</t>
  </si>
  <si>
    <t>Príjmy spolu</t>
  </si>
  <si>
    <t>Bežné výdavky</t>
  </si>
  <si>
    <t>Kapitálové výdavky</t>
  </si>
  <si>
    <t>Finančné výdavky</t>
  </si>
  <si>
    <t>RO - SJ vydavky</t>
  </si>
  <si>
    <t>RO - ZS s MS výdavky</t>
  </si>
  <si>
    <t>Výdavky spolu</t>
  </si>
  <si>
    <t>Hospodarenie obce</t>
  </si>
  <si>
    <t>RO - ZS s MS výdavky - KV</t>
  </si>
  <si>
    <t>Tuzemske bežné transfery v rámci VS zo štatného rozpočtu</t>
  </si>
  <si>
    <t>Tuzemske bežné transfery od ostatných subjektov VS</t>
  </si>
  <si>
    <t>Daň z pozemkov</t>
  </si>
  <si>
    <t>Daň zo stavieb</t>
  </si>
  <si>
    <t>Daň za psa</t>
  </si>
  <si>
    <t>Správne poplatky</t>
  </si>
  <si>
    <t>Príjmy z vyťažkov z lotérii a iných podobných hier</t>
  </si>
  <si>
    <t>Príjmy z vratiek</t>
  </si>
  <si>
    <t>Úhrn</t>
  </si>
  <si>
    <t>Bežný rozpočet</t>
  </si>
  <si>
    <t>Kapitálový rozpočet</t>
  </si>
  <si>
    <t>Príjmy</t>
  </si>
  <si>
    <t>Rozpočtové organizácie</t>
  </si>
  <si>
    <t>Príjmy stravovací účet ŠJ</t>
  </si>
  <si>
    <t>Príjem celkom</t>
  </si>
  <si>
    <t>Výdavky</t>
  </si>
  <si>
    <t>Výdavky verejnej správy - prenesený výkon, dotácie za ŠR, EÚ, ÚP</t>
  </si>
  <si>
    <t>Mzdy, platy, služobné príjmy a ostatné vyrovnania</t>
  </si>
  <si>
    <t>Poistné a príspevok zamestnávateľa do poisťovní</t>
  </si>
  <si>
    <t>Materiál</t>
  </si>
  <si>
    <t>Služby</t>
  </si>
  <si>
    <t>Bežné transféry na rovnakej úrovni</t>
  </si>
  <si>
    <t>Dopravné</t>
  </si>
  <si>
    <t>Rutinná a štandardná údržba</t>
  </si>
  <si>
    <t>Výdavky verejnej správy</t>
  </si>
  <si>
    <t>Cestovné náhrady</t>
  </si>
  <si>
    <t>Energie, voda, komunikácie</t>
  </si>
  <si>
    <t>Nájom za prenájom</t>
  </si>
  <si>
    <t>Transakcie verejného dlhu</t>
  </si>
  <si>
    <t>Splácanie úrokov v tuzemsku</t>
  </si>
  <si>
    <t>Policajne služby</t>
  </si>
  <si>
    <t>Požiarná ochrana</t>
  </si>
  <si>
    <t>Cestná doprava</t>
  </si>
  <si>
    <t>Nakladanie s odpadmi</t>
  </si>
  <si>
    <t>Verejne osvetlenie</t>
  </si>
  <si>
    <t>Bývanie</t>
  </si>
  <si>
    <t>Rekreačné a športové služby</t>
  </si>
  <si>
    <t>Kultúrne služby</t>
  </si>
  <si>
    <t>Vysielacie a vydavatelské služby</t>
  </si>
  <si>
    <t>Náboženské a iné spoločenské služby</t>
  </si>
  <si>
    <t>Vzdelávanie</t>
  </si>
  <si>
    <t>Sociálna pomoc</t>
  </si>
  <si>
    <t>Splacanie tuzemskej istiny z ostatných úverov dlhodobých</t>
  </si>
  <si>
    <t>Rozpočtová organizácia</t>
  </si>
  <si>
    <t>MŠ Dotácia prenesený výkon</t>
  </si>
  <si>
    <t>ZŠ s MŠ - vlastné príjmy</t>
  </si>
  <si>
    <t>Výdavky stravovací účet ŠJ</t>
  </si>
  <si>
    <t>Výdavky celom</t>
  </si>
  <si>
    <t>Výnos dane z príjmov poukázaných územnej samospráve</t>
  </si>
  <si>
    <t>Z predaja pozemkov</t>
  </si>
  <si>
    <t>Tuzemské kapitalové transfery v ramci VS zo ŠR</t>
  </si>
  <si>
    <t>Tuzemské kapitalové transfery v ramci VS zo EÚ</t>
  </si>
  <si>
    <t>Finančné operácie</t>
  </si>
  <si>
    <t>Zostatok prostriedkov z predchadzajúcich rokov</t>
  </si>
  <si>
    <t>Zostatok prostriedkov z predchadzajúcich rokov - ŠR</t>
  </si>
  <si>
    <t>Prevod prostriedkou z rezervného fondu obce a rezervného fondu VUC</t>
  </si>
  <si>
    <t>Civlná obrana</t>
  </si>
  <si>
    <t>Material</t>
  </si>
  <si>
    <t>Všeobecná pracovná oblasť</t>
  </si>
  <si>
    <t>Životné prostredie</t>
  </si>
  <si>
    <t>Bežné transféry jednotlivcom, neziskovým právnickým osobám a poskytovateľom zdravotnej starostlivosti</t>
  </si>
  <si>
    <t>Zdroj</t>
  </si>
  <si>
    <t>Položka</t>
  </si>
  <si>
    <t>Podpoložka</t>
  </si>
  <si>
    <t>1AC1</t>
  </si>
  <si>
    <t>001</t>
  </si>
  <si>
    <t>012</t>
  </si>
  <si>
    <t>011</t>
  </si>
  <si>
    <t>003</t>
  </si>
  <si>
    <t>002</t>
  </si>
  <si>
    <t>013</t>
  </si>
  <si>
    <t>008</t>
  </si>
  <si>
    <t>46</t>
  </si>
  <si>
    <t>454</t>
  </si>
  <si>
    <t>43</t>
  </si>
  <si>
    <t>233</t>
  </si>
  <si>
    <t>322</t>
  </si>
  <si>
    <t>1AM1</t>
  </si>
  <si>
    <t>453</t>
  </si>
  <si>
    <t>Program</t>
  </si>
  <si>
    <t>0111</t>
  </si>
  <si>
    <t>610</t>
  </si>
  <si>
    <t>620</t>
  </si>
  <si>
    <t>631</t>
  </si>
  <si>
    <t>632</t>
  </si>
  <si>
    <t>633</t>
  </si>
  <si>
    <t>634</t>
  </si>
  <si>
    <t>635</t>
  </si>
  <si>
    <t>637</t>
  </si>
  <si>
    <t>642</t>
  </si>
  <si>
    <t>0112</t>
  </si>
  <si>
    <t>0170</t>
  </si>
  <si>
    <t>651</t>
  </si>
  <si>
    <t>0220</t>
  </si>
  <si>
    <t>0310</t>
  </si>
  <si>
    <t>0320</t>
  </si>
  <si>
    <t>0412</t>
  </si>
  <si>
    <t>0510</t>
  </si>
  <si>
    <t>0640</t>
  </si>
  <si>
    <t>636</t>
  </si>
  <si>
    <t>0660</t>
  </si>
  <si>
    <t>0810</t>
  </si>
  <si>
    <t>0820</t>
  </si>
  <si>
    <t>830</t>
  </si>
  <si>
    <t>0840</t>
  </si>
  <si>
    <t>09121</t>
  </si>
  <si>
    <t>1020/1070</t>
  </si>
  <si>
    <t>821</t>
  </si>
  <si>
    <t>007</t>
  </si>
  <si>
    <t>004</t>
  </si>
  <si>
    <t>Poplatok za komunálny odpad a drobné stavebné odpady</t>
  </si>
  <si>
    <t>Schválený rozpočet 2024</t>
  </si>
  <si>
    <t>Tránsfer školstvo</t>
  </si>
  <si>
    <t>Príjmy z prenajatých parkovacích miest</t>
  </si>
  <si>
    <t>Rozširovanie cintorína</t>
  </si>
  <si>
    <t>ZŠ, ŠKD prispevok obce</t>
  </si>
  <si>
    <t>Tránsfer školstvo -  bezplatné stravovanie</t>
  </si>
  <si>
    <t>Transfér školstvo - ostatné (knihy, profesijný rozvoj, vzdelávacie poukazy)</t>
  </si>
  <si>
    <t xml:space="preserve">72c </t>
  </si>
  <si>
    <t>000</t>
  </si>
  <si>
    <t xml:space="preserve">Z prenajatých budov,priestorov a objektov (nájomné)                       </t>
  </si>
  <si>
    <t>212</t>
  </si>
  <si>
    <t xml:space="preserve">Z prenajatých budov-energie                                      </t>
  </si>
  <si>
    <t>311</t>
  </si>
  <si>
    <t>292</t>
  </si>
  <si>
    <t>027</t>
  </si>
  <si>
    <t xml:space="preserve">Preplatené projekty - dotácie             </t>
  </si>
  <si>
    <t>Príspevok na utečencov</t>
  </si>
  <si>
    <t>ZŠ, MŠ dotácia detí v hmotnej núdzi a na stravu</t>
  </si>
  <si>
    <t>41</t>
  </si>
  <si>
    <t>Príjmy rozpočtovej organizácie s právnou subjektivitou ZŠ s MŠ</t>
  </si>
  <si>
    <t>Príjmy stravovací účet ŠJ - réžia</t>
  </si>
  <si>
    <t>713</t>
  </si>
  <si>
    <t>Finančná a rozpočtová oblasť</t>
  </si>
  <si>
    <t>11UA</t>
  </si>
  <si>
    <t>312</t>
  </si>
  <si>
    <t>3P01</t>
  </si>
  <si>
    <t>006</t>
  </si>
  <si>
    <t>641</t>
  </si>
  <si>
    <t>0451</t>
  </si>
  <si>
    <t>Nakladanie s odpadovými vodami</t>
  </si>
  <si>
    <t>Volby</t>
  </si>
  <si>
    <t>Transfery od verejnej správy - plán obnovy a odolnosti</t>
  </si>
  <si>
    <t>Z prenajatých pozemkov</t>
  </si>
  <si>
    <t>Z náhrad z poisteného plnenia</t>
  </si>
  <si>
    <t>Očakávaná skutočnosť 2024</t>
  </si>
  <si>
    <t>Výhľad 2027</t>
  </si>
  <si>
    <t>Skutočné plnenie 2023</t>
  </si>
  <si>
    <t>Úroky z tuzemských vkladov (termínovaných účtov)</t>
  </si>
  <si>
    <t>Iné príjmy</t>
  </si>
  <si>
    <t xml:space="preserve">72j </t>
  </si>
  <si>
    <t>315</t>
  </si>
  <si>
    <t>244</t>
  </si>
  <si>
    <t>3AG1</t>
  </si>
  <si>
    <t>Poštovné, telekomunikačné</t>
  </si>
  <si>
    <t>Údržba</t>
  </si>
  <si>
    <t>72c</t>
  </si>
  <si>
    <t>72e</t>
  </si>
  <si>
    <t>Rozširovanie cintorína nový</t>
  </si>
  <si>
    <t xml:space="preserve">Rozširovanie cintorína nový </t>
  </si>
  <si>
    <t>111</t>
  </si>
  <si>
    <t>Transfer - voľby</t>
  </si>
  <si>
    <t>020</t>
  </si>
  <si>
    <t>Transfer - refundácia energií</t>
  </si>
  <si>
    <t xml:space="preserve">Transfer zo ŠR Ukrajina pre školstvo                             </t>
  </si>
  <si>
    <t>221</t>
  </si>
  <si>
    <t>Osvedčovanie</t>
  </si>
  <si>
    <t>017</t>
  </si>
  <si>
    <t xml:space="preserve">Vratky-preplatok                                                 </t>
  </si>
  <si>
    <t xml:space="preserve">Tuzemské  bežné granty                                           </t>
  </si>
  <si>
    <t>3AG2</t>
  </si>
  <si>
    <t>Nákup pozemkov</t>
  </si>
  <si>
    <t xml:space="preserve">Dopravné </t>
  </si>
  <si>
    <t>1BB1</t>
  </si>
  <si>
    <t>1BB2</t>
  </si>
  <si>
    <t>3BB1</t>
  </si>
  <si>
    <t>3BB2</t>
  </si>
  <si>
    <t>Dotácia - Ukrajina</t>
  </si>
  <si>
    <t>Poistné plnenie</t>
  </si>
  <si>
    <t>45</t>
  </si>
  <si>
    <t xml:space="preserve">Služby  </t>
  </si>
  <si>
    <t>Materiál, údržba, služby - použitie dotácie</t>
  </si>
  <si>
    <t>Materiál - použitie dotácie</t>
  </si>
  <si>
    <t>Rozvoj obcí - aktivační pracovníci</t>
  </si>
  <si>
    <t>Mzdy, odvody - použitie dotácie</t>
  </si>
  <si>
    <t xml:space="preserve">Tránsfer školstvo - MŠ </t>
  </si>
  <si>
    <t>Dotácia - enviro</t>
  </si>
  <si>
    <t xml:space="preserve">Transfery subjektom nezaradeným vo VS v  registri organizácii   - požiarnici </t>
  </si>
  <si>
    <t>11</t>
  </si>
  <si>
    <t>Transfer školstvo - asistent učiteľa - MŠ</t>
  </si>
  <si>
    <t>Tránsfer školstvo - asistent učiteľa - ZŠ, špec. Pedagóg</t>
  </si>
  <si>
    <t>Nákup pozemkov -  cintorín</t>
  </si>
  <si>
    <t>Rekonštrukcia a modernizácia - starý cintorín</t>
  </si>
  <si>
    <t>Rozpočet na rok 2025</t>
  </si>
  <si>
    <t>Výhľad 2028</t>
  </si>
  <si>
    <t>Dunajov - príjmy, 2026</t>
  </si>
  <si>
    <t>Schválený rozpočet 2025</t>
  </si>
  <si>
    <t>Očakávaná skutočnosť 2025</t>
  </si>
  <si>
    <t>Návrh rozpočtu 2026</t>
  </si>
  <si>
    <t>Dunajov - výdavky, 2026</t>
  </si>
  <si>
    <t>Dunajov - súhrn, 2026</t>
  </si>
  <si>
    <t>Bežné transféry jednotlivcom, neziskovým právnickým osobám a poskytovateľom zdravotnej starostlivosti (odstupné)</t>
  </si>
  <si>
    <t>Fimančné operácie</t>
  </si>
  <si>
    <t>Nákup kontajnerov</t>
  </si>
  <si>
    <t>Multifunkčné ihrisko - projekt+ spoluúčasť</t>
  </si>
  <si>
    <t>Nákup - traktor + spoluúčasť</t>
  </si>
  <si>
    <t>Zatepľovanie bytoviek - úver ŠFRB + spoluúčasť</t>
  </si>
  <si>
    <t>Priorita projektov sa urci podla vyziev v danom roku</t>
  </si>
  <si>
    <t>133</t>
  </si>
  <si>
    <t>Zapojenie fondu opráv - zatepľovanie bytoviek</t>
  </si>
  <si>
    <t>Vratka - detské ihrisko</t>
  </si>
  <si>
    <t>514</t>
  </si>
  <si>
    <t>Nákup príslušenstva k traktoru</t>
  </si>
  <si>
    <t>ZŠ Dotácia prenesený výkon</t>
  </si>
  <si>
    <t>ŠKD - vlastné príjmy</t>
  </si>
  <si>
    <t>1310</t>
  </si>
  <si>
    <t>Vratky za energie, iné príjmy</t>
  </si>
  <si>
    <t xml:space="preserve">Oprava kotolne </t>
  </si>
  <si>
    <t>Projektová dokumentácia - zatepľovanie bytoviek</t>
  </si>
  <si>
    <t>Detské ihrisko</t>
  </si>
  <si>
    <t>Dobudovanie VO</t>
  </si>
  <si>
    <t>1AG</t>
  </si>
  <si>
    <t>Nákup - traktor  (ďalšie náklady na obstaranie)</t>
  </si>
  <si>
    <t xml:space="preserve">Tuzemské  bežné granty   - MAS                                      </t>
  </si>
  <si>
    <t>Poplatky a platby za predaj výrobkov, tovarov a služieb</t>
  </si>
  <si>
    <t>Skutočné plnenie 2024</t>
  </si>
  <si>
    <t>ŠJ, ŠKD, MŠ - orginálne kompetencie a odvody, služby, energie</t>
  </si>
  <si>
    <t>dorátať podľa výdavkov MŠ</t>
  </si>
  <si>
    <t>Zapojenie zostatku z poplatkov za odpad</t>
  </si>
  <si>
    <t>Bystricka dolina</t>
  </si>
  <si>
    <t>Kamerové systémy, radar</t>
  </si>
  <si>
    <t>Nákup pozemkov -  železnica</t>
  </si>
  <si>
    <t>Úver od ŠFRB - zatepľovanie bytoviek</t>
  </si>
  <si>
    <t>Očakávaná skutočnosť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</si>
</sst>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9C65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5" tint="0.7999816888943144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6" borderId="0" applyNumberFormat="0" applyBorder="0" applyAlignment="0" applyProtection="0"/>
  </cellStyleXfs>
  <cellXfs count="34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  <xf numFmtId="0" fontId="1" fillId="0" borderId="0" xfId="0" applyFont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1" fillId="0" borderId="13" xfId="0" applyFont="1" applyBorder="1" applyAlignment="1">
      <alignment horizontal="center"/>
    </xf>
    <xf numFmtId="0" fontId="0" fillId="0" borderId="17" xfId="0" applyBorder="1"/>
    <xf numFmtId="0" fontId="0" fillId="0" borderId="6" xfId="0" applyBorder="1"/>
    <xf numFmtId="49" fontId="0" fillId="0" borderId="3" xfId="0" applyNumberFormat="1" applyBorder="1" applyAlignment="1">
      <alignment horizontal="right" vertical="center"/>
    </xf>
    <xf numFmtId="3" fontId="0" fillId="0" borderId="3" xfId="0" applyNumberFormat="1" applyBorder="1"/>
    <xf numFmtId="49" fontId="0" fillId="0" borderId="7" xfId="0" applyNumberFormat="1" applyBorder="1" applyAlignment="1">
      <alignment horizontal="right" vertical="center"/>
    </xf>
    <xf numFmtId="3" fontId="0" fillId="0" borderId="7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0" fontId="0" fillId="0" borderId="9" xfId="0" applyBorder="1"/>
    <xf numFmtId="0" fontId="0" fillId="0" borderId="11" xfId="0" applyBorder="1"/>
    <xf numFmtId="49" fontId="0" fillId="0" borderId="12" xfId="0" applyNumberFormat="1" applyBorder="1" applyAlignment="1">
      <alignment horizontal="right" vertical="center"/>
    </xf>
    <xf numFmtId="49" fontId="0" fillId="0" borderId="13" xfId="0" applyNumberFormat="1" applyBorder="1" applyAlignment="1">
      <alignment horizontal="right" vertical="center"/>
    </xf>
    <xf numFmtId="49" fontId="0" fillId="0" borderId="15" xfId="0" applyNumberFormat="1" applyBorder="1" applyAlignment="1">
      <alignment horizontal="right" vertical="center"/>
    </xf>
    <xf numFmtId="49" fontId="0" fillId="0" borderId="16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49" fontId="0" fillId="0" borderId="5" xfId="0" applyNumberFormat="1" applyBorder="1" applyAlignment="1">
      <alignment horizontal="right" vertical="center"/>
    </xf>
    <xf numFmtId="49" fontId="0" fillId="0" borderId="9" xfId="0" applyNumberFormat="1" applyBorder="1" applyAlignment="1">
      <alignment horizontal="right" vertical="center"/>
    </xf>
    <xf numFmtId="49" fontId="0" fillId="0" borderId="10" xfId="0" applyNumberFormat="1" applyBorder="1" applyAlignment="1">
      <alignment horizontal="right" vertical="center"/>
    </xf>
    <xf numFmtId="3" fontId="0" fillId="0" borderId="12" xfId="0" applyNumberFormat="1" applyBorder="1"/>
    <xf numFmtId="3" fontId="0" fillId="0" borderId="13" xfId="0" applyNumberFormat="1" applyBorder="1"/>
    <xf numFmtId="49" fontId="0" fillId="0" borderId="22" xfId="0" applyNumberFormat="1" applyBorder="1" applyAlignment="1">
      <alignment horizontal="right" vertical="center"/>
    </xf>
    <xf numFmtId="49" fontId="0" fillId="0" borderId="1" xfId="0" applyNumberFormat="1" applyBorder="1" applyAlignment="1">
      <alignment horizontal="right" vertical="center"/>
    </xf>
    <xf numFmtId="49" fontId="0" fillId="0" borderId="23" xfId="0" applyNumberFormat="1" applyBorder="1" applyAlignment="1">
      <alignment horizontal="right" vertical="center"/>
    </xf>
    <xf numFmtId="49" fontId="0" fillId="0" borderId="24" xfId="0" applyNumberFormat="1" applyBorder="1" applyAlignment="1">
      <alignment horizontal="right" vertical="center"/>
    </xf>
    <xf numFmtId="49" fontId="0" fillId="0" borderId="2" xfId="0" applyNumberFormat="1" applyBorder="1" applyAlignment="1">
      <alignment horizontal="right" vertical="center"/>
    </xf>
    <xf numFmtId="3" fontId="0" fillId="0" borderId="22" xfId="0" applyNumberFormat="1" applyBorder="1"/>
    <xf numFmtId="3" fontId="0" fillId="0" borderId="1" xfId="0" applyNumberFormat="1" applyBorder="1"/>
    <xf numFmtId="3" fontId="0" fillId="0" borderId="24" xfId="0" applyNumberFormat="1" applyBorder="1"/>
    <xf numFmtId="0" fontId="1" fillId="0" borderId="4" xfId="0" applyFont="1" applyBorder="1"/>
    <xf numFmtId="0" fontId="0" fillId="0" borderId="8" xfId="0" applyBorder="1" applyAlignment="1">
      <alignment wrapText="1"/>
    </xf>
    <xf numFmtId="0" fontId="1" fillId="0" borderId="15" xfId="0" applyFont="1" applyBorder="1"/>
    <xf numFmtId="0" fontId="1" fillId="2" borderId="19" xfId="0" applyFont="1" applyFill="1" applyBorder="1"/>
    <xf numFmtId="0" fontId="0" fillId="2" borderId="21" xfId="0" applyFill="1" applyBorder="1"/>
    <xf numFmtId="0" fontId="1" fillId="3" borderId="12" xfId="0" applyFont="1" applyFill="1" applyBorder="1"/>
    <xf numFmtId="0" fontId="0" fillId="3" borderId="14" xfId="0" applyFill="1" applyBorder="1"/>
    <xf numFmtId="49" fontId="0" fillId="0" borderId="26" xfId="0" applyNumberFormat="1" applyBorder="1" applyAlignment="1">
      <alignment horizontal="right" vertical="center"/>
    </xf>
    <xf numFmtId="49" fontId="0" fillId="0" borderId="27" xfId="0" applyNumberFormat="1" applyBorder="1" applyAlignment="1">
      <alignment horizontal="right" vertical="center"/>
    </xf>
    <xf numFmtId="0" fontId="0" fillId="0" borderId="27" xfId="0" applyBorder="1"/>
    <xf numFmtId="0" fontId="1" fillId="3" borderId="7" xfId="0" applyFont="1" applyFill="1" applyBorder="1"/>
    <xf numFmtId="0" fontId="2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3" fillId="2" borderId="29" xfId="0" applyFont="1" applyFill="1" applyBorder="1" applyAlignment="1">
      <alignment vertical="center"/>
    </xf>
    <xf numFmtId="0" fontId="0" fillId="0" borderId="31" xfId="0" applyBorder="1"/>
    <xf numFmtId="0" fontId="0" fillId="0" borderId="29" xfId="0" applyBorder="1"/>
    <xf numFmtId="0" fontId="1" fillId="3" borderId="28" xfId="0" applyFont="1" applyFill="1" applyBorder="1"/>
    <xf numFmtId="0" fontId="0" fillId="0" borderId="32" xfId="0" applyBorder="1"/>
    <xf numFmtId="49" fontId="0" fillId="0" borderId="7" xfId="0" applyNumberFormat="1" applyBorder="1" applyAlignment="1">
      <alignment horizontal="right"/>
    </xf>
    <xf numFmtId="49" fontId="0" fillId="0" borderId="3" xfId="0" applyNumberFormat="1" applyBorder="1" applyAlignment="1">
      <alignment horizontal="right"/>
    </xf>
    <xf numFmtId="49" fontId="0" fillId="0" borderId="0" xfId="0" applyNumberFormat="1" applyBorder="1"/>
    <xf numFmtId="0" fontId="4" fillId="0" borderId="0" xfId="0" applyFont="1" applyAlignment="1">
      <alignment horizontal="center"/>
    </xf>
    <xf numFmtId="0" fontId="0" fillId="0" borderId="32" xfId="0" applyBorder="1" applyAlignment="1">
      <alignment horizontal="right"/>
    </xf>
    <xf numFmtId="0" fontId="4" fillId="0" borderId="0" xfId="0" applyFont="1"/>
    <xf numFmtId="0" fontId="0" fillId="0" borderId="0" xfId="0"/>
    <xf numFmtId="0" fontId="1" fillId="7" borderId="13" xfId="0" applyFont="1" applyFill="1" applyBorder="1" applyAlignment="1">
      <alignment horizontal="center"/>
    </xf>
    <xf numFmtId="4" fontId="12" fillId="7" borderId="3" xfId="0" applyNumberFormat="1" applyFont="1" applyFill="1" applyBorder="1" applyAlignment="1">
      <alignment horizontal="center" vertical="top"/>
    </xf>
    <xf numFmtId="0" fontId="0" fillId="0" borderId="22" xfId="0" applyBorder="1" applyAlignment="1">
      <alignment wrapText="1"/>
    </xf>
    <xf numFmtId="1" fontId="0" fillId="0" borderId="0" xfId="0" applyNumberFormat="1"/>
    <xf numFmtId="2" fontId="0" fillId="0" borderId="0" xfId="0" applyNumberFormat="1"/>
    <xf numFmtId="49" fontId="0" fillId="0" borderId="34" xfId="0" applyNumberFormat="1" applyBorder="1" applyAlignment="1">
      <alignment horizontal="right" vertical="center"/>
    </xf>
    <xf numFmtId="49" fontId="0" fillId="0" borderId="35" xfId="0" applyNumberFormat="1" applyBorder="1" applyAlignment="1">
      <alignment horizontal="right" vertical="center"/>
    </xf>
    <xf numFmtId="49" fontId="0" fillId="0" borderId="36" xfId="0" applyNumberFormat="1" applyBorder="1" applyAlignment="1">
      <alignment horizontal="right" vertical="center"/>
    </xf>
    <xf numFmtId="0" fontId="1" fillId="3" borderId="37" xfId="0" applyFont="1" applyFill="1" applyBorder="1"/>
    <xf numFmtId="0" fontId="0" fillId="3" borderId="36" xfId="0" applyFill="1" applyBorder="1"/>
    <xf numFmtId="49" fontId="0" fillId="0" borderId="12" xfId="0" applyNumberFormat="1" applyBorder="1" applyAlignment="1">
      <alignment horizontal="right"/>
    </xf>
    <xf numFmtId="49" fontId="0" fillId="0" borderId="13" xfId="0" applyNumberFormat="1" applyBorder="1" applyAlignment="1">
      <alignment horizontal="right"/>
    </xf>
    <xf numFmtId="49" fontId="0" fillId="0" borderId="22" xfId="0" applyNumberFormat="1" applyBorder="1" applyAlignment="1">
      <alignment horizontal="right"/>
    </xf>
    <xf numFmtId="0" fontId="0" fillId="0" borderId="22" xfId="0" applyBorder="1"/>
    <xf numFmtId="0" fontId="6" fillId="0" borderId="22" xfId="0" applyFont="1" applyBorder="1"/>
    <xf numFmtId="0" fontId="6" fillId="5" borderId="22" xfId="0" applyFont="1" applyFill="1" applyBorder="1"/>
    <xf numFmtId="0" fontId="0" fillId="5" borderId="22" xfId="0" applyFill="1" applyBorder="1"/>
    <xf numFmtId="49" fontId="0" fillId="5" borderId="22" xfId="0" applyNumberFormat="1" applyFill="1" applyBorder="1"/>
    <xf numFmtId="49" fontId="0" fillId="0" borderId="22" xfId="0" applyNumberFormat="1" applyBorder="1"/>
    <xf numFmtId="49" fontId="0" fillId="0" borderId="2" xfId="0" applyNumberFormat="1" applyBorder="1"/>
    <xf numFmtId="49" fontId="0" fillId="0" borderId="39" xfId="0" applyNumberFormat="1" applyBorder="1"/>
    <xf numFmtId="49" fontId="0" fillId="0" borderId="32" xfId="0" applyNumberFormat="1" applyBorder="1" applyAlignment="1">
      <alignment horizontal="right"/>
    </xf>
    <xf numFmtId="0" fontId="0" fillId="0" borderId="34" xfId="0" applyBorder="1"/>
    <xf numFmtId="0" fontId="1" fillId="0" borderId="36" xfId="0" applyFont="1" applyBorder="1"/>
    <xf numFmtId="0" fontId="2" fillId="2" borderId="42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0" fillId="0" borderId="35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4" xfId="0" applyBorder="1"/>
    <xf numFmtId="0" fontId="0" fillId="0" borderId="12" xfId="0" applyBorder="1"/>
    <xf numFmtId="0" fontId="5" fillId="0" borderId="0" xfId="0" applyFont="1"/>
    <xf numFmtId="2" fontId="0" fillId="0" borderId="0" xfId="0" applyNumberFormat="1" applyAlignment="1">
      <alignment horizontal="center"/>
    </xf>
    <xf numFmtId="0" fontId="0" fillId="0" borderId="2" xfId="0" applyBorder="1"/>
    <xf numFmtId="0" fontId="2" fillId="0" borderId="16" xfId="0" applyFont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8" xfId="0" applyBorder="1"/>
    <xf numFmtId="0" fontId="1" fillId="2" borderId="9" xfId="0" applyFont="1" applyFill="1" applyBorder="1"/>
    <xf numFmtId="0" fontId="2" fillId="2" borderId="42" xfId="0" applyFont="1" applyFill="1" applyBorder="1"/>
    <xf numFmtId="0" fontId="1" fillId="2" borderId="43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 wrapText="1"/>
    </xf>
    <xf numFmtId="0" fontId="0" fillId="0" borderId="35" xfId="0" applyBorder="1"/>
    <xf numFmtId="0" fontId="0" fillId="0" borderId="55" xfId="0" applyBorder="1"/>
    <xf numFmtId="49" fontId="0" fillId="0" borderId="31" xfId="0" applyNumberFormat="1" applyBorder="1" applyAlignment="1">
      <alignment horizontal="right" vertical="center"/>
    </xf>
    <xf numFmtId="0" fontId="1" fillId="3" borderId="9" xfId="0" applyFont="1" applyFill="1" applyBorder="1"/>
    <xf numFmtId="0" fontId="0" fillId="3" borderId="11" xfId="0" applyFill="1" applyBorder="1"/>
    <xf numFmtId="4" fontId="1" fillId="0" borderId="5" xfId="0" applyNumberFormat="1" applyFont="1" applyBorder="1" applyAlignment="1">
      <alignment horizontal="center"/>
    </xf>
    <xf numFmtId="4" fontId="1" fillId="7" borderId="5" xfId="0" applyNumberFormat="1" applyFont="1" applyFill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23" xfId="0" applyNumberFormat="1" applyFont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4" fontId="1" fillId="7" borderId="3" xfId="0" applyNumberFormat="1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22" xfId="0" applyNumberFormat="1" applyFont="1" applyBorder="1" applyAlignment="1">
      <alignment horizontal="center"/>
    </xf>
    <xf numFmtId="4" fontId="0" fillId="0" borderId="8" xfId="0" applyNumberFormat="1" applyBorder="1" applyAlignment="1">
      <alignment horizontal="center"/>
    </xf>
    <xf numFmtId="4" fontId="1" fillId="3" borderId="10" xfId="0" applyNumberFormat="1" applyFont="1" applyFill="1" applyBorder="1" applyAlignment="1">
      <alignment horizontal="center"/>
    </xf>
    <xf numFmtId="4" fontId="1" fillId="7" borderId="10" xfId="0" applyNumberFormat="1" applyFont="1" applyFill="1" applyBorder="1" applyAlignment="1">
      <alignment horizontal="center"/>
    </xf>
    <xf numFmtId="4" fontId="2" fillId="3" borderId="10" xfId="0" applyNumberFormat="1" applyFont="1" applyFill="1" applyBorder="1" applyAlignment="1">
      <alignment horizontal="center"/>
    </xf>
    <xf numFmtId="4" fontId="2" fillId="3" borderId="24" xfId="0" applyNumberFormat="1" applyFont="1" applyFill="1" applyBorder="1" applyAlignment="1">
      <alignment horizontal="center"/>
    </xf>
    <xf numFmtId="4" fontId="1" fillId="0" borderId="18" xfId="0" applyNumberFormat="1" applyFont="1" applyBorder="1" applyAlignment="1">
      <alignment horizontal="center"/>
    </xf>
    <xf numFmtId="4" fontId="1" fillId="7" borderId="18" xfId="0" applyNumberFormat="1" applyFont="1" applyFill="1" applyBorder="1" applyAlignment="1">
      <alignment horizontal="center"/>
    </xf>
    <xf numFmtId="4" fontId="2" fillId="0" borderId="18" xfId="0" applyNumberFormat="1" applyFont="1" applyBorder="1" applyAlignment="1">
      <alignment horizontal="center"/>
    </xf>
    <xf numFmtId="4" fontId="2" fillId="0" borderId="52" xfId="0" applyNumberFormat="1" applyFont="1" applyBorder="1" applyAlignment="1">
      <alignment horizontal="center"/>
    </xf>
    <xf numFmtId="4" fontId="0" fillId="0" borderId="14" xfId="0" applyNumberFormat="1" applyBorder="1" applyAlignment="1">
      <alignment horizontal="center"/>
    </xf>
    <xf numFmtId="4" fontId="1" fillId="3" borderId="3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center"/>
    </xf>
    <xf numFmtId="0" fontId="13" fillId="0" borderId="0" xfId="0" applyFont="1"/>
    <xf numFmtId="4" fontId="6" fillId="5" borderId="3" xfId="0" applyNumberFormat="1" applyFont="1" applyFill="1" applyBorder="1" applyAlignment="1">
      <alignment horizontal="center" vertical="center"/>
    </xf>
    <xf numFmtId="4" fontId="1" fillId="5" borderId="3" xfId="0" applyNumberFormat="1" applyFont="1" applyFill="1" applyBorder="1" applyAlignment="1">
      <alignment horizontal="center" vertical="center"/>
    </xf>
    <xf numFmtId="4" fontId="0" fillId="5" borderId="3" xfId="0" applyNumberFormat="1" applyFont="1" applyFill="1" applyBorder="1" applyAlignment="1">
      <alignment horizontal="center" vertical="center"/>
    </xf>
    <xf numFmtId="4" fontId="8" fillId="5" borderId="3" xfId="0" applyNumberFormat="1" applyFont="1" applyFill="1" applyBorder="1" applyAlignment="1">
      <alignment horizontal="center" vertical="center"/>
    </xf>
    <xf numFmtId="4" fontId="9" fillId="5" borderId="3" xfId="0" applyNumberFormat="1" applyFont="1" applyFill="1" applyBorder="1" applyAlignment="1">
      <alignment horizontal="center" vertical="center"/>
    </xf>
    <xf numFmtId="4" fontId="9" fillId="5" borderId="22" xfId="0" applyNumberFormat="1" applyFont="1" applyFill="1" applyBorder="1" applyAlignment="1">
      <alignment horizontal="center" vertical="center"/>
    </xf>
    <xf numFmtId="4" fontId="0" fillId="0" borderId="3" xfId="0" applyNumberFormat="1" applyFont="1" applyBorder="1" applyAlignment="1">
      <alignment horizontal="center" vertical="center"/>
    </xf>
    <xf numFmtId="4" fontId="7" fillId="5" borderId="3" xfId="0" applyNumberFormat="1" applyFont="1" applyFill="1" applyBorder="1" applyAlignment="1">
      <alignment horizontal="center" vertical="center"/>
    </xf>
    <xf numFmtId="4" fontId="8" fillId="5" borderId="22" xfId="0" applyNumberFormat="1" applyFont="1" applyFill="1" applyBorder="1" applyAlignment="1">
      <alignment horizontal="center" vertical="center"/>
    </xf>
    <xf numFmtId="4" fontId="2" fillId="5" borderId="3" xfId="0" applyNumberFormat="1" applyFont="1" applyFill="1" applyBorder="1" applyAlignment="1">
      <alignment horizontal="center" vertical="center"/>
    </xf>
    <xf numFmtId="4" fontId="2" fillId="5" borderId="22" xfId="0" applyNumberFormat="1" applyFont="1" applyFill="1" applyBorder="1" applyAlignment="1">
      <alignment horizontal="center" vertical="center"/>
    </xf>
    <xf numFmtId="4" fontId="6" fillId="5" borderId="22" xfId="0" applyNumberFormat="1" applyFont="1" applyFill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4" fontId="10" fillId="0" borderId="3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4" fontId="5" fillId="5" borderId="3" xfId="0" applyNumberFormat="1" applyFont="1" applyFill="1" applyBorder="1" applyAlignment="1">
      <alignment horizontal="center" vertical="center"/>
    </xf>
    <xf numFmtId="4" fontId="10" fillId="0" borderId="10" xfId="0" applyNumberFormat="1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center" vertical="center"/>
    </xf>
    <xf numFmtId="4" fontId="0" fillId="0" borderId="10" xfId="0" applyNumberFormat="1" applyFont="1" applyBorder="1" applyAlignment="1">
      <alignment horizontal="center" vertical="center"/>
    </xf>
    <xf numFmtId="4" fontId="5" fillId="5" borderId="10" xfId="0" applyNumberFormat="1" applyFont="1" applyFill="1" applyBorder="1" applyAlignment="1">
      <alignment horizontal="center" vertical="center"/>
    </xf>
    <xf numFmtId="4" fontId="2" fillId="5" borderId="10" xfId="0" applyNumberFormat="1" applyFont="1" applyFill="1" applyBorder="1" applyAlignment="1">
      <alignment horizontal="center" vertical="center"/>
    </xf>
    <xf numFmtId="4" fontId="2" fillId="5" borderId="24" xfId="0" applyNumberFormat="1" applyFont="1" applyFill="1" applyBorder="1" applyAlignment="1">
      <alignment horizontal="center" vertical="center"/>
    </xf>
    <xf numFmtId="4" fontId="8" fillId="3" borderId="20" xfId="0" applyNumberFormat="1" applyFont="1" applyFill="1" applyBorder="1" applyAlignment="1">
      <alignment horizontal="center" vertical="center"/>
    </xf>
    <xf numFmtId="4" fontId="1" fillId="3" borderId="20" xfId="0" applyNumberFormat="1" applyFont="1" applyFill="1" applyBorder="1" applyAlignment="1">
      <alignment horizontal="center" vertical="center"/>
    </xf>
    <xf numFmtId="4" fontId="1" fillId="3" borderId="39" xfId="0" applyNumberFormat="1" applyFont="1" applyFill="1" applyBorder="1" applyAlignment="1">
      <alignment horizontal="center" vertical="center"/>
    </xf>
    <xf numFmtId="4" fontId="1" fillId="3" borderId="21" xfId="0" applyNumberFormat="1" applyFont="1" applyFill="1" applyBorder="1" applyAlignment="1">
      <alignment horizontal="center" vertical="center"/>
    </xf>
    <xf numFmtId="4" fontId="8" fillId="0" borderId="5" xfId="0" applyNumberFormat="1" applyFont="1" applyBorder="1" applyAlignment="1"/>
    <xf numFmtId="4" fontId="1" fillId="0" borderId="5" xfId="0" applyNumberFormat="1" applyFont="1" applyBorder="1" applyAlignment="1"/>
    <xf numFmtId="4" fontId="1" fillId="5" borderId="5" xfId="0" applyNumberFormat="1" applyFont="1" applyFill="1" applyBorder="1" applyAlignment="1"/>
    <xf numFmtId="4" fontId="2" fillId="5" borderId="5" xfId="0" applyNumberFormat="1" applyFont="1" applyFill="1" applyBorder="1" applyAlignment="1"/>
    <xf numFmtId="4" fontId="2" fillId="5" borderId="30" xfId="0" applyNumberFormat="1" applyFont="1" applyFill="1" applyBorder="1" applyAlignment="1"/>
    <xf numFmtId="4" fontId="0" fillId="0" borderId="8" xfId="0" applyNumberFormat="1" applyBorder="1"/>
    <xf numFmtId="4" fontId="8" fillId="0" borderId="13" xfId="0" applyNumberFormat="1" applyFont="1" applyBorder="1" applyAlignment="1"/>
    <xf numFmtId="4" fontId="1" fillId="0" borderId="13" xfId="0" applyNumberFormat="1" applyFont="1" applyBorder="1" applyAlignment="1"/>
    <xf numFmtId="4" fontId="1" fillId="5" borderId="13" xfId="0" applyNumberFormat="1" applyFont="1" applyFill="1" applyBorder="1" applyAlignment="1"/>
    <xf numFmtId="4" fontId="2" fillId="5" borderId="13" xfId="0" applyNumberFormat="1" applyFont="1" applyFill="1" applyBorder="1" applyAlignment="1"/>
    <xf numFmtId="4" fontId="2" fillId="5" borderId="54" xfId="0" applyNumberFormat="1" applyFont="1" applyFill="1" applyBorder="1" applyAlignment="1"/>
    <xf numFmtId="4" fontId="0" fillId="0" borderId="14" xfId="0" applyNumberFormat="1" applyBorder="1"/>
    <xf numFmtId="4" fontId="8" fillId="0" borderId="5" xfId="0" applyNumberFormat="1" applyFont="1" applyBorder="1" applyAlignment="1">
      <alignment horizontal="center"/>
    </xf>
    <xf numFmtId="4" fontId="1" fillId="5" borderId="5" xfId="0" applyNumberFormat="1" applyFont="1" applyFill="1" applyBorder="1" applyAlignment="1">
      <alignment horizontal="center"/>
    </xf>
    <xf numFmtId="4" fontId="2" fillId="5" borderId="5" xfId="0" applyNumberFormat="1" applyFont="1" applyFill="1" applyBorder="1" applyAlignment="1">
      <alignment horizontal="center"/>
    </xf>
    <xf numFmtId="4" fontId="2" fillId="5" borderId="30" xfId="0" applyNumberFormat="1" applyFont="1" applyFill="1" applyBorder="1" applyAlignment="1">
      <alignment horizontal="center"/>
    </xf>
    <xf numFmtId="4" fontId="0" fillId="0" borderId="6" xfId="0" applyNumberFormat="1" applyBorder="1"/>
    <xf numFmtId="4" fontId="8" fillId="0" borderId="3" xfId="0" applyNumberFormat="1" applyFont="1" applyBorder="1" applyAlignment="1">
      <alignment horizontal="center"/>
    </xf>
    <xf numFmtId="4" fontId="1" fillId="5" borderId="3" xfId="0" applyNumberFormat="1" applyFont="1" applyFill="1" applyBorder="1" applyAlignment="1">
      <alignment horizontal="center"/>
    </xf>
    <xf numFmtId="4" fontId="2" fillId="5" borderId="3" xfId="0" applyNumberFormat="1" applyFont="1" applyFill="1" applyBorder="1" applyAlignment="1">
      <alignment horizontal="center"/>
    </xf>
    <xf numFmtId="4" fontId="2" fillId="5" borderId="47" xfId="0" applyNumberFormat="1" applyFont="1" applyFill="1" applyBorder="1" applyAlignment="1">
      <alignment horizontal="center"/>
    </xf>
    <xf numFmtId="4" fontId="8" fillId="5" borderId="3" xfId="0" applyNumberFormat="1" applyFont="1" applyFill="1" applyBorder="1" applyAlignment="1">
      <alignment horizontal="center"/>
    </xf>
    <xf numFmtId="4" fontId="0" fillId="0" borderId="0" xfId="0" applyNumberFormat="1" applyBorder="1" applyAlignment="1">
      <alignment horizontal="center"/>
    </xf>
    <xf numFmtId="4" fontId="8" fillId="3" borderId="10" xfId="0" applyNumberFormat="1" applyFont="1" applyFill="1" applyBorder="1" applyAlignment="1">
      <alignment horizontal="center"/>
    </xf>
    <xf numFmtId="4" fontId="1" fillId="3" borderId="24" xfId="0" applyNumberFormat="1" applyFont="1" applyFill="1" applyBorder="1" applyAlignment="1">
      <alignment horizontal="center"/>
    </xf>
    <xf numFmtId="4" fontId="1" fillId="3" borderId="11" xfId="0" applyNumberFormat="1" applyFont="1" applyFill="1" applyBorder="1" applyAlignment="1">
      <alignment horizontal="center"/>
    </xf>
    <xf numFmtId="4" fontId="8" fillId="0" borderId="16" xfId="0" applyNumberFormat="1" applyFont="1" applyBorder="1" applyAlignment="1">
      <alignment horizontal="center"/>
    </xf>
    <xf numFmtId="4" fontId="1" fillId="0" borderId="16" xfId="0" applyNumberFormat="1" applyFont="1" applyBorder="1" applyAlignment="1">
      <alignment horizontal="center"/>
    </xf>
    <xf numFmtId="4" fontId="1" fillId="5" borderId="16" xfId="0" applyNumberFormat="1" applyFont="1" applyFill="1" applyBorder="1" applyAlignment="1">
      <alignment horizontal="center"/>
    </xf>
    <xf numFmtId="4" fontId="2" fillId="5" borderId="16" xfId="0" applyNumberFormat="1" applyFont="1" applyFill="1" applyBorder="1" applyAlignment="1">
      <alignment horizontal="center"/>
    </xf>
    <xf numFmtId="4" fontId="2" fillId="5" borderId="46" xfId="0" applyNumberFormat="1" applyFont="1" applyFill="1" applyBorder="1" applyAlignment="1">
      <alignment horizontal="center"/>
    </xf>
    <xf numFmtId="4" fontId="0" fillId="0" borderId="17" xfId="0" applyNumberFormat="1" applyBorder="1"/>
    <xf numFmtId="4" fontId="8" fillId="0" borderId="13" xfId="0" applyNumberFormat="1" applyFont="1" applyBorder="1" applyAlignment="1">
      <alignment horizontal="center"/>
    </xf>
    <xf numFmtId="4" fontId="1" fillId="0" borderId="13" xfId="0" applyNumberFormat="1" applyFont="1" applyBorder="1" applyAlignment="1">
      <alignment horizontal="center"/>
    </xf>
    <xf numFmtId="4" fontId="1" fillId="5" borderId="13" xfId="0" applyNumberFormat="1" applyFont="1" applyFill="1" applyBorder="1" applyAlignment="1">
      <alignment horizontal="center"/>
    </xf>
    <xf numFmtId="4" fontId="2" fillId="5" borderId="13" xfId="0" applyNumberFormat="1" applyFont="1" applyFill="1" applyBorder="1" applyAlignment="1">
      <alignment horizontal="center"/>
    </xf>
    <xf numFmtId="4" fontId="2" fillId="5" borderId="54" xfId="0" applyNumberFormat="1" applyFont="1" applyFill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8" fillId="3" borderId="13" xfId="0" applyNumberFormat="1" applyFont="1" applyFill="1" applyBorder="1" applyAlignment="1">
      <alignment horizontal="center"/>
    </xf>
    <xf numFmtId="4" fontId="1" fillId="3" borderId="13" xfId="0" applyNumberFormat="1" applyFont="1" applyFill="1" applyBorder="1" applyAlignment="1">
      <alignment horizontal="center"/>
    </xf>
    <xf numFmtId="4" fontId="8" fillId="0" borderId="10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5" borderId="10" xfId="0" applyNumberFormat="1" applyFont="1" applyFill="1" applyBorder="1" applyAlignment="1">
      <alignment horizontal="center"/>
    </xf>
    <xf numFmtId="4" fontId="2" fillId="5" borderId="10" xfId="0" applyNumberFormat="1" applyFont="1" applyFill="1" applyBorder="1" applyAlignment="1">
      <alignment horizontal="center"/>
    </xf>
    <xf numFmtId="4" fontId="2" fillId="5" borderId="45" xfId="0" applyNumberFormat="1" applyFont="1" applyFill="1" applyBorder="1" applyAlignment="1">
      <alignment horizontal="center"/>
    </xf>
    <xf numFmtId="4" fontId="8" fillId="2" borderId="20" xfId="0" applyNumberFormat="1" applyFont="1" applyFill="1" applyBorder="1" applyAlignment="1">
      <alignment horizontal="center"/>
    </xf>
    <xf numFmtId="4" fontId="1" fillId="2" borderId="20" xfId="0" applyNumberFormat="1" applyFont="1" applyFill="1" applyBorder="1" applyAlignment="1">
      <alignment horizontal="center"/>
    </xf>
    <xf numFmtId="4" fontId="1" fillId="2" borderId="21" xfId="0" applyNumberFormat="1" applyFont="1" applyFill="1" applyBorder="1" applyAlignment="1">
      <alignment horizontal="center"/>
    </xf>
    <xf numFmtId="4" fontId="9" fillId="5" borderId="3" xfId="0" applyNumberFormat="1" applyFont="1" applyFill="1" applyBorder="1" applyAlignment="1">
      <alignment horizontal="center"/>
    </xf>
    <xf numFmtId="4" fontId="0" fillId="5" borderId="8" xfId="0" applyNumberFormat="1" applyFill="1" applyBorder="1" applyAlignment="1">
      <alignment horizontal="center"/>
    </xf>
    <xf numFmtId="4" fontId="9" fillId="0" borderId="8" xfId="0" applyNumberFormat="1" applyFont="1" applyBorder="1" applyAlignment="1">
      <alignment horizontal="center"/>
    </xf>
    <xf numFmtId="4" fontId="6" fillId="5" borderId="8" xfId="0" applyNumberFormat="1" applyFont="1" applyFill="1" applyBorder="1" applyAlignment="1">
      <alignment horizontal="center"/>
    </xf>
    <xf numFmtId="49" fontId="0" fillId="0" borderId="3" xfId="0" applyNumberFormat="1" applyBorder="1"/>
    <xf numFmtId="4" fontId="1" fillId="3" borderId="14" xfId="0" applyNumberFormat="1" applyFont="1" applyFill="1" applyBorder="1" applyAlignment="1">
      <alignment horizontal="center"/>
    </xf>
    <xf numFmtId="4" fontId="9" fillId="5" borderId="8" xfId="0" applyNumberFormat="1" applyFont="1" applyFill="1" applyBorder="1" applyAlignment="1">
      <alignment horizontal="center"/>
    </xf>
    <xf numFmtId="0" fontId="1" fillId="2" borderId="33" xfId="0" applyFont="1" applyFill="1" applyBorder="1" applyAlignment="1">
      <alignment vertical="center"/>
    </xf>
    <xf numFmtId="0" fontId="2" fillId="0" borderId="40" xfId="0" applyFont="1" applyBorder="1"/>
    <xf numFmtId="0" fontId="2" fillId="0" borderId="41" xfId="0" applyFont="1" applyBorder="1"/>
    <xf numFmtId="4" fontId="6" fillId="0" borderId="8" xfId="0" applyNumberFormat="1" applyFont="1" applyBorder="1" applyAlignment="1">
      <alignment horizontal="center"/>
    </xf>
    <xf numFmtId="0" fontId="16" fillId="2" borderId="44" xfId="0" applyFont="1" applyFill="1" applyBorder="1" applyAlignment="1">
      <alignment vertical="center"/>
    </xf>
    <xf numFmtId="0" fontId="17" fillId="0" borderId="50" xfId="0" applyFont="1" applyBorder="1"/>
    <xf numFmtId="0" fontId="17" fillId="0" borderId="37" xfId="0" applyFont="1" applyBorder="1"/>
    <xf numFmtId="0" fontId="16" fillId="2" borderId="35" xfId="0" applyFont="1" applyFill="1" applyBorder="1" applyAlignment="1">
      <alignment horizontal="center" vertical="center"/>
    </xf>
    <xf numFmtId="0" fontId="17" fillId="2" borderId="35" xfId="0" applyFont="1" applyFill="1" applyBorder="1" applyAlignment="1">
      <alignment horizontal="center" vertical="center" wrapText="1"/>
    </xf>
    <xf numFmtId="0" fontId="16" fillId="2" borderId="35" xfId="0" applyFont="1" applyFill="1" applyBorder="1" applyAlignment="1">
      <alignment horizontal="center" vertical="center" wrapText="1"/>
    </xf>
    <xf numFmtId="0" fontId="17" fillId="2" borderId="36" xfId="0" applyFont="1" applyFill="1" applyBorder="1" applyAlignment="1">
      <alignment horizontal="center" vertical="center" wrapText="1"/>
    </xf>
    <xf numFmtId="0" fontId="17" fillId="0" borderId="49" xfId="0" applyFont="1" applyBorder="1"/>
    <xf numFmtId="0" fontId="17" fillId="0" borderId="19" xfId="0" applyFont="1" applyBorder="1"/>
    <xf numFmtId="0" fontId="16" fillId="0" borderId="20" xfId="0" applyFont="1" applyBorder="1"/>
    <xf numFmtId="0" fontId="16" fillId="0" borderId="21" xfId="0" applyFont="1" applyBorder="1"/>
    <xf numFmtId="0" fontId="18" fillId="0" borderId="20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7" fillId="0" borderId="20" xfId="0" applyFont="1" applyBorder="1"/>
    <xf numFmtId="0" fontId="17" fillId="0" borderId="21" xfId="0" applyFont="1" applyBorder="1"/>
    <xf numFmtId="0" fontId="17" fillId="0" borderId="48" xfId="0" applyFont="1" applyBorder="1"/>
    <xf numFmtId="49" fontId="17" fillId="0" borderId="26" xfId="0" applyNumberFormat="1" applyFont="1" applyBorder="1" applyAlignment="1">
      <alignment horizontal="right" vertical="center"/>
    </xf>
    <xf numFmtId="0" fontId="16" fillId="0" borderId="15" xfId="0" applyFont="1" applyBorder="1"/>
    <xf numFmtId="0" fontId="17" fillId="0" borderId="16" xfId="0" applyFont="1" applyBorder="1"/>
    <xf numFmtId="0" fontId="17" fillId="0" borderId="17" xfId="0" applyFont="1" applyBorder="1"/>
    <xf numFmtId="0" fontId="18" fillId="0" borderId="16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49" fontId="17" fillId="0" borderId="27" xfId="0" applyNumberFormat="1" applyFont="1" applyBorder="1" applyAlignment="1">
      <alignment horizontal="right" vertical="center"/>
    </xf>
    <xf numFmtId="0" fontId="17" fillId="0" borderId="7" xfId="0" applyFont="1" applyBorder="1"/>
    <xf numFmtId="0" fontId="16" fillId="0" borderId="3" xfId="0" applyFont="1" applyBorder="1"/>
    <xf numFmtId="0" fontId="17" fillId="0" borderId="8" xfId="0" applyFont="1" applyBorder="1"/>
    <xf numFmtId="4" fontId="19" fillId="0" borderId="3" xfId="0" applyNumberFormat="1" applyFont="1" applyBorder="1" applyAlignment="1">
      <alignment horizontal="center"/>
    </xf>
    <xf numFmtId="4" fontId="16" fillId="0" borderId="3" xfId="0" applyNumberFormat="1" applyFont="1" applyBorder="1" applyAlignment="1">
      <alignment horizontal="center"/>
    </xf>
    <xf numFmtId="4" fontId="17" fillId="0" borderId="3" xfId="0" applyNumberFormat="1" applyFont="1" applyBorder="1" applyAlignment="1">
      <alignment horizontal="center"/>
    </xf>
    <xf numFmtId="4" fontId="17" fillId="0" borderId="22" xfId="0" applyNumberFormat="1" applyFont="1" applyBorder="1" applyAlignment="1">
      <alignment horizontal="center"/>
    </xf>
    <xf numFmtId="4" fontId="17" fillId="0" borderId="8" xfId="0" applyNumberFormat="1" applyFont="1" applyBorder="1"/>
    <xf numFmtId="0" fontId="17" fillId="0" borderId="3" xfId="0" applyFont="1" applyBorder="1" applyAlignment="1">
      <alignment wrapText="1"/>
    </xf>
    <xf numFmtId="0" fontId="17" fillId="0" borderId="8" xfId="0" applyFont="1" applyBorder="1" applyAlignment="1">
      <alignment wrapText="1"/>
    </xf>
    <xf numFmtId="4" fontId="16" fillId="5" borderId="3" xfId="0" applyNumberFormat="1" applyFont="1" applyFill="1" applyBorder="1" applyAlignment="1">
      <alignment horizontal="center"/>
    </xf>
    <xf numFmtId="4" fontId="17" fillId="0" borderId="8" xfId="0" applyNumberFormat="1" applyFont="1" applyBorder="1" applyAlignment="1">
      <alignment horizontal="center"/>
    </xf>
    <xf numFmtId="0" fontId="17" fillId="0" borderId="3" xfId="0" applyFont="1" applyBorder="1"/>
    <xf numFmtId="4" fontId="16" fillId="0" borderId="0" xfId="0" applyNumberFormat="1" applyFont="1" applyBorder="1" applyAlignment="1">
      <alignment horizontal="center"/>
    </xf>
    <xf numFmtId="4" fontId="17" fillId="5" borderId="3" xfId="0" applyNumberFormat="1" applyFont="1" applyFill="1" applyBorder="1" applyAlignment="1">
      <alignment horizontal="center"/>
    </xf>
    <xf numFmtId="4" fontId="17" fillId="5" borderId="8" xfId="0" applyNumberFormat="1" applyFont="1" applyFill="1" applyBorder="1" applyAlignment="1">
      <alignment horizontal="center"/>
    </xf>
    <xf numFmtId="0" fontId="19" fillId="0" borderId="8" xfId="0" applyFont="1" applyBorder="1" applyAlignment="1">
      <alignment wrapText="1"/>
    </xf>
    <xf numFmtId="0" fontId="16" fillId="4" borderId="3" xfId="0" applyFont="1" applyFill="1" applyBorder="1"/>
    <xf numFmtId="0" fontId="17" fillId="4" borderId="8" xfId="0" applyFont="1" applyFill="1" applyBorder="1"/>
    <xf numFmtId="4" fontId="19" fillId="4" borderId="3" xfId="0" applyNumberFormat="1" applyFont="1" applyFill="1" applyBorder="1" applyAlignment="1">
      <alignment horizontal="center"/>
    </xf>
    <xf numFmtId="4" fontId="16" fillId="4" borderId="3" xfId="0" applyNumberFormat="1" applyFont="1" applyFill="1" applyBorder="1" applyAlignment="1">
      <alignment horizontal="center"/>
    </xf>
    <xf numFmtId="4" fontId="16" fillId="4" borderId="8" xfId="0" applyNumberFormat="1" applyFont="1" applyFill="1" applyBorder="1" applyAlignment="1">
      <alignment horizontal="center"/>
    </xf>
    <xf numFmtId="4" fontId="18" fillId="0" borderId="3" xfId="0" applyNumberFormat="1" applyFont="1" applyBorder="1" applyAlignment="1">
      <alignment horizontal="center"/>
    </xf>
    <xf numFmtId="49" fontId="17" fillId="0" borderId="7" xfId="0" applyNumberFormat="1" applyFont="1" applyBorder="1"/>
    <xf numFmtId="4" fontId="16" fillId="5" borderId="22" xfId="0" applyNumberFormat="1" applyFont="1" applyFill="1" applyBorder="1" applyAlignment="1">
      <alignment horizontal="center"/>
    </xf>
    <xf numFmtId="4" fontId="16" fillId="5" borderId="25" xfId="0" applyNumberFormat="1" applyFont="1" applyFill="1" applyBorder="1" applyAlignment="1">
      <alignment horizontal="center"/>
    </xf>
    <xf numFmtId="4" fontId="16" fillId="5" borderId="0" xfId="0" applyNumberFormat="1" applyFont="1" applyFill="1" applyBorder="1" applyAlignment="1">
      <alignment horizontal="center"/>
    </xf>
    <xf numFmtId="4" fontId="20" fillId="5" borderId="25" xfId="0" applyNumberFormat="1" applyFont="1" applyFill="1" applyBorder="1" applyAlignment="1">
      <alignment horizontal="center"/>
    </xf>
    <xf numFmtId="4" fontId="19" fillId="5" borderId="3" xfId="0" applyNumberFormat="1" applyFont="1" applyFill="1" applyBorder="1" applyAlignment="1">
      <alignment horizontal="center"/>
    </xf>
    <xf numFmtId="4" fontId="19" fillId="5" borderId="8" xfId="0" applyNumberFormat="1" applyFont="1" applyFill="1" applyBorder="1" applyAlignment="1">
      <alignment horizontal="center"/>
    </xf>
    <xf numFmtId="4" fontId="17" fillId="5" borderId="22" xfId="0" applyNumberFormat="1" applyFont="1" applyFill="1" applyBorder="1" applyAlignment="1">
      <alignment horizontal="center"/>
    </xf>
    <xf numFmtId="4" fontId="16" fillId="4" borderId="22" xfId="0" applyNumberFormat="1" applyFont="1" applyFill="1" applyBorder="1" applyAlignment="1">
      <alignment horizontal="center"/>
    </xf>
    <xf numFmtId="4" fontId="19" fillId="0" borderId="22" xfId="0" applyNumberFormat="1" applyFont="1" applyBorder="1" applyAlignment="1">
      <alignment horizontal="center"/>
    </xf>
    <xf numFmtId="4" fontId="19" fillId="0" borderId="8" xfId="0" applyNumberFormat="1" applyFont="1" applyBorder="1" applyAlignment="1">
      <alignment horizontal="center"/>
    </xf>
    <xf numFmtId="0" fontId="16" fillId="5" borderId="3" xfId="0" applyFont="1" applyFill="1" applyBorder="1"/>
    <xf numFmtId="0" fontId="17" fillId="5" borderId="8" xfId="0" applyFont="1" applyFill="1" applyBorder="1"/>
    <xf numFmtId="4" fontId="18" fillId="5" borderId="3" xfId="0" applyNumberFormat="1" applyFont="1" applyFill="1" applyBorder="1" applyAlignment="1">
      <alignment horizontal="center"/>
    </xf>
    <xf numFmtId="0" fontId="17" fillId="0" borderId="7" xfId="0" applyFont="1" applyBorder="1" applyAlignment="1">
      <alignment horizontal="left"/>
    </xf>
    <xf numFmtId="4" fontId="19" fillId="5" borderId="22" xfId="0" applyNumberFormat="1" applyFont="1" applyFill="1" applyBorder="1" applyAlignment="1">
      <alignment horizontal="center"/>
    </xf>
    <xf numFmtId="4" fontId="20" fillId="4" borderId="3" xfId="0" applyNumberFormat="1" applyFont="1" applyFill="1" applyBorder="1" applyAlignment="1">
      <alignment horizontal="center"/>
    </xf>
    <xf numFmtId="49" fontId="17" fillId="5" borderId="27" xfId="0" applyNumberFormat="1" applyFont="1" applyFill="1" applyBorder="1" applyAlignment="1">
      <alignment horizontal="right" vertical="center"/>
    </xf>
    <xf numFmtId="0" fontId="17" fillId="5" borderId="7" xfId="0" applyFont="1" applyFill="1" applyBorder="1"/>
    <xf numFmtId="0" fontId="16" fillId="5" borderId="8" xfId="0" applyFont="1" applyFill="1" applyBorder="1"/>
    <xf numFmtId="0" fontId="17" fillId="0" borderId="7" xfId="0" applyFont="1" applyBorder="1" applyAlignment="1">
      <alignment horizontal="right"/>
    </xf>
    <xf numFmtId="0" fontId="17" fillId="4" borderId="8" xfId="0" applyFont="1" applyFill="1" applyBorder="1" applyAlignment="1">
      <alignment wrapText="1"/>
    </xf>
    <xf numFmtId="0" fontId="16" fillId="3" borderId="4" xfId="0" applyFont="1" applyFill="1" applyBorder="1"/>
    <xf numFmtId="0" fontId="17" fillId="3" borderId="5" xfId="0" applyFont="1" applyFill="1" applyBorder="1"/>
    <xf numFmtId="0" fontId="17" fillId="3" borderId="6" xfId="0" applyFont="1" applyFill="1" applyBorder="1"/>
    <xf numFmtId="4" fontId="19" fillId="3" borderId="35" xfId="0" applyNumberFormat="1" applyFont="1" applyFill="1" applyBorder="1" applyAlignment="1">
      <alignment horizontal="center"/>
    </xf>
    <xf numFmtId="4" fontId="16" fillId="3" borderId="35" xfId="0" applyNumberFormat="1" applyFont="1" applyFill="1" applyBorder="1" applyAlignment="1">
      <alignment horizontal="center"/>
    </xf>
    <xf numFmtId="0" fontId="16" fillId="0" borderId="7" xfId="0" applyFont="1" applyBorder="1"/>
    <xf numFmtId="4" fontId="17" fillId="5" borderId="8" xfId="0" applyNumberFormat="1" applyFont="1" applyFill="1" applyBorder="1"/>
    <xf numFmtId="0" fontId="17" fillId="0" borderId="27" xfId="0" applyFont="1" applyBorder="1"/>
    <xf numFmtId="4" fontId="17" fillId="0" borderId="0" xfId="0" applyNumberFormat="1" applyFont="1" applyAlignment="1">
      <alignment horizontal="center"/>
    </xf>
    <xf numFmtId="49" fontId="17" fillId="0" borderId="8" xfId="0" applyNumberFormat="1" applyFont="1" applyBorder="1"/>
    <xf numFmtId="4" fontId="20" fillId="5" borderId="3" xfId="0" applyNumberFormat="1" applyFont="1" applyFill="1" applyBorder="1" applyAlignment="1">
      <alignment horizontal="center"/>
    </xf>
    <xf numFmtId="0" fontId="17" fillId="0" borderId="22" xfId="0" applyFont="1" applyBorder="1"/>
    <xf numFmtId="0" fontId="17" fillId="0" borderId="12" xfId="0" applyFont="1" applyBorder="1"/>
    <xf numFmtId="0" fontId="17" fillId="0" borderId="13" xfId="0" applyFont="1" applyBorder="1"/>
    <xf numFmtId="4" fontId="19" fillId="0" borderId="13" xfId="0" applyNumberFormat="1" applyFont="1" applyBorder="1" applyAlignment="1">
      <alignment horizontal="center"/>
    </xf>
    <xf numFmtId="4" fontId="20" fillId="5" borderId="13" xfId="0" applyNumberFormat="1" applyFont="1" applyFill="1" applyBorder="1" applyAlignment="1">
      <alignment horizontal="center"/>
    </xf>
    <xf numFmtId="4" fontId="19" fillId="5" borderId="13" xfId="0" applyNumberFormat="1" applyFont="1" applyFill="1" applyBorder="1" applyAlignment="1">
      <alignment horizontal="center"/>
    </xf>
    <xf numFmtId="0" fontId="17" fillId="0" borderId="9" xfId="0" applyFont="1" applyBorder="1"/>
    <xf numFmtId="0" fontId="17" fillId="0" borderId="10" xfId="0" applyFont="1" applyBorder="1"/>
    <xf numFmtId="4" fontId="19" fillId="0" borderId="10" xfId="0" applyNumberFormat="1" applyFont="1" applyBorder="1" applyAlignment="1">
      <alignment horizontal="center"/>
    </xf>
    <xf numFmtId="4" fontId="20" fillId="5" borderId="10" xfId="0" applyNumberFormat="1" applyFont="1" applyFill="1" applyBorder="1" applyAlignment="1">
      <alignment horizontal="center"/>
    </xf>
    <xf numFmtId="4" fontId="19" fillId="5" borderId="10" xfId="0" applyNumberFormat="1" applyFont="1" applyFill="1" applyBorder="1" applyAlignment="1">
      <alignment horizontal="center"/>
    </xf>
    <xf numFmtId="0" fontId="16" fillId="3" borderId="19" xfId="0" applyFont="1" applyFill="1" applyBorder="1"/>
    <xf numFmtId="0" fontId="17" fillId="3" borderId="20" xfId="0" applyFont="1" applyFill="1" applyBorder="1"/>
    <xf numFmtId="0" fontId="17" fillId="3" borderId="21" xfId="0" applyFont="1" applyFill="1" applyBorder="1"/>
    <xf numFmtId="4" fontId="17" fillId="3" borderId="35" xfId="0" applyNumberFormat="1" applyFont="1" applyFill="1" applyBorder="1" applyAlignment="1">
      <alignment horizontal="center"/>
    </xf>
    <xf numFmtId="4" fontId="17" fillId="3" borderId="51" xfId="0" applyNumberFormat="1" applyFont="1" applyFill="1" applyBorder="1" applyAlignment="1">
      <alignment horizontal="center"/>
    </xf>
    <xf numFmtId="4" fontId="17" fillId="3" borderId="36" xfId="0" applyNumberFormat="1" applyFont="1" applyFill="1" applyBorder="1" applyAlignment="1">
      <alignment horizontal="center"/>
    </xf>
    <xf numFmtId="0" fontId="17" fillId="0" borderId="15" xfId="0" applyFont="1" applyBorder="1"/>
    <xf numFmtId="4" fontId="19" fillId="0" borderId="16" xfId="0" applyNumberFormat="1" applyFont="1" applyBorder="1" applyAlignment="1">
      <alignment horizontal="center"/>
    </xf>
    <xf numFmtId="4" fontId="16" fillId="0" borderId="16" xfId="0" applyNumberFormat="1" applyFont="1" applyBorder="1" applyAlignment="1">
      <alignment horizontal="center"/>
    </xf>
    <xf numFmtId="4" fontId="17" fillId="0" borderId="16" xfId="0" applyNumberFormat="1" applyFont="1" applyBorder="1" applyAlignment="1">
      <alignment horizontal="center"/>
    </xf>
    <xf numFmtId="4" fontId="17" fillId="0" borderId="2" xfId="0" applyNumberFormat="1" applyFont="1" applyBorder="1" applyAlignment="1">
      <alignment horizontal="center"/>
    </xf>
    <xf numFmtId="49" fontId="17" fillId="0" borderId="12" xfId="0" applyNumberFormat="1" applyFont="1" applyBorder="1"/>
    <xf numFmtId="0" fontId="17" fillId="0" borderId="14" xfId="0" applyFont="1" applyBorder="1"/>
    <xf numFmtId="4" fontId="16" fillId="0" borderId="13" xfId="0" applyNumberFormat="1" applyFont="1" applyBorder="1" applyAlignment="1">
      <alignment horizontal="center"/>
    </xf>
    <xf numFmtId="4" fontId="17" fillId="5" borderId="13" xfId="0" applyNumberFormat="1" applyFont="1" applyFill="1" applyBorder="1" applyAlignment="1">
      <alignment horizontal="center"/>
    </xf>
    <xf numFmtId="4" fontId="17" fillId="5" borderId="1" xfId="0" applyNumberFormat="1" applyFont="1" applyFill="1" applyBorder="1" applyAlignment="1">
      <alignment horizontal="center"/>
    </xf>
    <xf numFmtId="0" fontId="16" fillId="3" borderId="34" xfId="0" applyFont="1" applyFill="1" applyBorder="1"/>
    <xf numFmtId="0" fontId="17" fillId="3" borderId="35" xfId="0" applyFont="1" applyFill="1" applyBorder="1"/>
    <xf numFmtId="0" fontId="17" fillId="3" borderId="36" xfId="0" applyFont="1" applyFill="1" applyBorder="1"/>
    <xf numFmtId="0" fontId="16" fillId="3" borderId="7" xfId="0" applyFont="1" applyFill="1" applyBorder="1"/>
    <xf numFmtId="0" fontId="17" fillId="3" borderId="3" xfId="0" applyFont="1" applyFill="1" applyBorder="1"/>
    <xf numFmtId="0" fontId="17" fillId="3" borderId="8" xfId="0" applyFont="1" applyFill="1" applyBorder="1"/>
    <xf numFmtId="4" fontId="19" fillId="3" borderId="3" xfId="0" applyNumberFormat="1" applyFont="1" applyFill="1" applyBorder="1" applyAlignment="1">
      <alignment horizontal="center"/>
    </xf>
    <xf numFmtId="4" fontId="16" fillId="3" borderId="3" xfId="0" applyNumberFormat="1" applyFont="1" applyFill="1" applyBorder="1" applyAlignment="1">
      <alignment horizontal="center"/>
    </xf>
    <xf numFmtId="4" fontId="17" fillId="0" borderId="13" xfId="0" applyNumberFormat="1" applyFont="1" applyBorder="1" applyAlignment="1">
      <alignment horizontal="center"/>
    </xf>
    <xf numFmtId="4" fontId="17" fillId="0" borderId="1" xfId="0" applyNumberFormat="1" applyFont="1" applyBorder="1" applyAlignment="1">
      <alignment horizontal="center"/>
    </xf>
    <xf numFmtId="49" fontId="17" fillId="0" borderId="28" xfId="0" applyNumberFormat="1" applyFont="1" applyBorder="1" applyAlignment="1">
      <alignment horizontal="right" vertical="center"/>
    </xf>
    <xf numFmtId="0" fontId="16" fillId="2" borderId="34" xfId="0" applyFont="1" applyFill="1" applyBorder="1"/>
    <xf numFmtId="0" fontId="17" fillId="2" borderId="35" xfId="0" applyFont="1" applyFill="1" applyBorder="1"/>
    <xf numFmtId="0" fontId="17" fillId="2" borderId="36" xfId="0" applyFont="1" applyFill="1" applyBorder="1"/>
    <xf numFmtId="4" fontId="19" fillId="2" borderId="35" xfId="0" applyNumberFormat="1" applyFont="1" applyFill="1" applyBorder="1" applyAlignment="1">
      <alignment horizontal="center"/>
    </xf>
    <xf numFmtId="4" fontId="16" fillId="2" borderId="35" xfId="0" applyNumberFormat="1" applyFont="1" applyFill="1" applyBorder="1" applyAlignment="1">
      <alignment horizontal="center"/>
    </xf>
    <xf numFmtId="4" fontId="17" fillId="2" borderId="35" xfId="0" applyNumberFormat="1" applyFont="1" applyFill="1" applyBorder="1" applyAlignment="1">
      <alignment horizontal="center"/>
    </xf>
    <xf numFmtId="4" fontId="16" fillId="2" borderId="51" xfId="0" applyNumberFormat="1" applyFont="1" applyFill="1" applyBorder="1" applyAlignment="1">
      <alignment horizontal="center"/>
    </xf>
  </cellXfs>
  <cellStyles count="2">
    <cellStyle name="Neutrálna 2" xfId="1" xr:uid="{00000000-0005-0000-0000-00002F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0.51\starosta\Users\sba32260\AppData\Local\Temp\pid-4972\pr&#237;jmy%2019.11.20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0.51\starosta\Users\sba32260\AppData\Local\Temp\pid-4972\pr&#237;jmyoktober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0.51\starosta\Users\sba32260\AppData\Local\Temp\pid-4972\rozpo&#269;et%202024\navrh%20rozpo&#269;tu%20rozp&#237;san&#25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0.51\starosta\Users\sba32260\AppData\Local\Temp\pid-4972\v&#253;davky%2010_20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nenie príjmov"/>
    </sheetNames>
    <sheetDataSet>
      <sheetData sheetId="0" refreshError="1">
        <row r="5">
          <cell r="G5">
            <v>162250</v>
          </cell>
        </row>
        <row r="6">
          <cell r="G6">
            <v>2048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nenie príjmov"/>
    </sheetNames>
    <sheetDataSet>
      <sheetData sheetId="0">
        <row r="8">
          <cell r="G8">
            <v>3490.01</v>
          </cell>
        </row>
        <row r="10">
          <cell r="G10">
            <v>7515.34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nenie príjmov"/>
      <sheetName val="výdavky"/>
    </sheetNames>
    <sheetDataSet>
      <sheetData sheetId="0" refreshError="1">
        <row r="4">
          <cell r="I4">
            <v>15000</v>
          </cell>
        </row>
        <row r="19">
          <cell r="I19">
            <v>6500</v>
          </cell>
        </row>
        <row r="20">
          <cell r="I20">
            <v>6900</v>
          </cell>
        </row>
        <row r="21">
          <cell r="I21">
            <v>1200</v>
          </cell>
        </row>
        <row r="25">
          <cell r="I25">
            <v>233000</v>
          </cell>
        </row>
        <row r="26">
          <cell r="I26">
            <v>25000</v>
          </cell>
        </row>
        <row r="32">
          <cell r="I32">
            <v>4200</v>
          </cell>
        </row>
        <row r="35">
          <cell r="I35">
            <v>100</v>
          </cell>
        </row>
      </sheetData>
      <sheetData sheetId="1" refreshError="1">
        <row r="4">
          <cell r="K4">
            <v>650</v>
          </cell>
          <cell r="L4">
            <v>650</v>
          </cell>
        </row>
        <row r="13">
          <cell r="K13">
            <v>500</v>
          </cell>
          <cell r="L13">
            <v>500</v>
          </cell>
          <cell r="M13">
            <v>500</v>
          </cell>
        </row>
        <row r="14">
          <cell r="K14">
            <v>1500</v>
          </cell>
          <cell r="L14">
            <v>1500</v>
          </cell>
          <cell r="M14">
            <v>1500</v>
          </cell>
        </row>
        <row r="15">
          <cell r="K15">
            <v>2000</v>
          </cell>
          <cell r="L15">
            <v>2000</v>
          </cell>
        </row>
        <row r="32">
          <cell r="K32">
            <v>1000</v>
          </cell>
        </row>
        <row r="44">
          <cell r="K44">
            <v>11100</v>
          </cell>
        </row>
        <row r="49">
          <cell r="K49">
            <v>3400</v>
          </cell>
          <cell r="L49">
            <v>3400</v>
          </cell>
          <cell r="M49">
            <v>3400</v>
          </cell>
        </row>
        <row r="53">
          <cell r="K53">
            <v>4900</v>
          </cell>
        </row>
        <row r="54">
          <cell r="K54">
            <v>100</v>
          </cell>
        </row>
        <row r="69">
          <cell r="K69">
            <v>19450</v>
          </cell>
        </row>
        <row r="75">
          <cell r="K75">
            <v>4000</v>
          </cell>
        </row>
        <row r="83">
          <cell r="K83">
            <v>1438</v>
          </cell>
        </row>
        <row r="84">
          <cell r="K84">
            <v>2300</v>
          </cell>
        </row>
        <row r="103">
          <cell r="K103">
            <v>500</v>
          </cell>
        </row>
        <row r="115">
          <cell r="K115">
            <v>3500</v>
          </cell>
        </row>
        <row r="118">
          <cell r="K118">
            <v>1000</v>
          </cell>
        </row>
        <row r="121">
          <cell r="K121">
            <v>5000</v>
          </cell>
        </row>
        <row r="122">
          <cell r="K122">
            <v>10000</v>
          </cell>
        </row>
        <row r="124">
          <cell r="K124">
            <v>2500</v>
          </cell>
          <cell r="L124">
            <v>2500</v>
          </cell>
          <cell r="M124">
            <v>2500</v>
          </cell>
        </row>
        <row r="132">
          <cell r="K132">
            <v>12200</v>
          </cell>
        </row>
        <row r="133">
          <cell r="K133">
            <v>1500</v>
          </cell>
        </row>
        <row r="134">
          <cell r="K134">
            <v>1500</v>
          </cell>
        </row>
        <row r="135">
          <cell r="K135">
            <v>1000</v>
          </cell>
        </row>
        <row r="136">
          <cell r="K136">
            <v>1000</v>
          </cell>
          <cell r="L136">
            <v>1000</v>
          </cell>
          <cell r="M136">
            <v>1000</v>
          </cell>
        </row>
        <row r="154">
          <cell r="K154">
            <v>35500</v>
          </cell>
          <cell r="L154">
            <v>35500</v>
          </cell>
          <cell r="M154">
            <v>35500</v>
          </cell>
        </row>
        <row r="178">
          <cell r="K178">
            <v>8050</v>
          </cell>
        </row>
        <row r="182">
          <cell r="K182">
            <v>1500</v>
          </cell>
        </row>
        <row r="201">
          <cell r="K201">
            <v>850</v>
          </cell>
        </row>
        <row r="204">
          <cell r="K204">
            <v>2600</v>
          </cell>
        </row>
        <row r="207">
          <cell r="K207">
            <v>2700</v>
          </cell>
        </row>
        <row r="210">
          <cell r="K210">
            <v>2200</v>
          </cell>
        </row>
        <row r="212">
          <cell r="K212">
            <v>12000</v>
          </cell>
        </row>
        <row r="232">
          <cell r="K232">
            <v>145000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nenie výdavkov"/>
    </sheetNames>
    <sheetDataSet>
      <sheetData sheetId="0">
        <row r="23">
          <cell r="I23">
            <v>240</v>
          </cell>
        </row>
        <row r="27">
          <cell r="I27">
            <v>79.989999999999995</v>
          </cell>
        </row>
        <row r="30">
          <cell r="I30">
            <v>295</v>
          </cell>
        </row>
        <row r="31">
          <cell r="I31">
            <v>55</v>
          </cell>
        </row>
        <row r="33">
          <cell r="I33">
            <v>15</v>
          </cell>
        </row>
        <row r="39">
          <cell r="I39">
            <v>2805.01</v>
          </cell>
        </row>
        <row r="100">
          <cell r="I100">
            <v>51</v>
          </cell>
        </row>
        <row r="136">
          <cell r="I136">
            <v>0</v>
          </cell>
        </row>
        <row r="137">
          <cell r="I137">
            <v>32.4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0</v>
          </cell>
        </row>
        <row r="146">
          <cell r="I146">
            <v>0</v>
          </cell>
        </row>
        <row r="154">
          <cell r="I154">
            <v>0</v>
          </cell>
        </row>
        <row r="161">
          <cell r="I161">
            <v>137.61000000000001</v>
          </cell>
        </row>
        <row r="164">
          <cell r="I164">
            <v>0</v>
          </cell>
        </row>
        <row r="167">
          <cell r="I167">
            <v>0</v>
          </cell>
        </row>
        <row r="174">
          <cell r="I174">
            <v>9750.74</v>
          </cell>
        </row>
        <row r="178">
          <cell r="I178">
            <v>0</v>
          </cell>
        </row>
        <row r="206">
          <cell r="I206">
            <v>418.47</v>
          </cell>
        </row>
        <row r="210">
          <cell r="I210">
            <v>0</v>
          </cell>
        </row>
        <row r="218">
          <cell r="I218">
            <v>141.19999999999999</v>
          </cell>
        </row>
        <row r="231">
          <cell r="I231">
            <v>150</v>
          </cell>
        </row>
        <row r="236">
          <cell r="I236">
            <v>0</v>
          </cell>
        </row>
        <row r="241">
          <cell r="I241">
            <v>248.05</v>
          </cell>
        </row>
        <row r="244">
          <cell r="I244">
            <v>168.77</v>
          </cell>
        </row>
        <row r="249">
          <cell r="I249">
            <v>2200</v>
          </cell>
        </row>
        <row r="252">
          <cell r="I252">
            <v>1848.06</v>
          </cell>
        </row>
        <row r="254">
          <cell r="I254">
            <v>300</v>
          </cell>
        </row>
        <row r="263">
          <cell r="I263">
            <v>103.35000000000001</v>
          </cell>
        </row>
        <row r="268">
          <cell r="I268">
            <v>91.4</v>
          </cell>
        </row>
        <row r="269">
          <cell r="I269">
            <v>2908.6</v>
          </cell>
        </row>
        <row r="274">
          <cell r="I274">
            <v>13523.63</v>
          </cell>
        </row>
        <row r="279">
          <cell r="I279">
            <v>7786.96</v>
          </cell>
        </row>
        <row r="281">
          <cell r="I281">
            <v>26162.03</v>
          </cell>
        </row>
      </sheetData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67FBB-929D-4B88-8B93-D0DCA8F6B822}">
  <sheetPr>
    <pageSetUpPr fitToPage="1"/>
  </sheetPr>
  <dimension ref="A1:J29"/>
  <sheetViews>
    <sheetView workbookViewId="0">
      <selection activeCell="R12" sqref="R12"/>
    </sheetView>
  </sheetViews>
  <sheetFormatPr defaultRowHeight="14.4" x14ac:dyDescent="0.3"/>
  <cols>
    <col min="1" max="1" width="10" customWidth="1"/>
    <col min="2" max="2" width="27.6640625" customWidth="1"/>
    <col min="3" max="4" width="15.6640625" customWidth="1"/>
    <col min="5" max="5" width="0.109375" customWidth="1"/>
    <col min="6" max="6" width="15.6640625" customWidth="1"/>
    <col min="7" max="7" width="15.6640625" style="63" customWidth="1"/>
    <col min="8" max="9" width="15.6640625" customWidth="1"/>
    <col min="10" max="10" width="12.109375" customWidth="1"/>
  </cols>
  <sheetData>
    <row r="1" spans="1:10" s="63" customFormat="1" x14ac:dyDescent="0.3"/>
    <row r="2" spans="1:10" x14ac:dyDescent="0.3">
      <c r="B2" s="96"/>
      <c r="C2" s="96"/>
    </row>
    <row r="3" spans="1:10" s="63" customFormat="1" ht="15" thickBot="1" x14ac:dyDescent="0.35"/>
    <row r="4" spans="1:10" ht="30" customHeight="1" x14ac:dyDescent="0.3">
      <c r="A4" s="2"/>
      <c r="B4" s="52" t="s">
        <v>216</v>
      </c>
      <c r="C4" s="48" t="s">
        <v>163</v>
      </c>
      <c r="D4" s="48" t="s">
        <v>241</v>
      </c>
      <c r="E4" s="48" t="s">
        <v>161</v>
      </c>
      <c r="F4" s="48" t="s">
        <v>212</v>
      </c>
      <c r="G4" s="48" t="s">
        <v>249</v>
      </c>
      <c r="H4" s="47" t="s">
        <v>214</v>
      </c>
      <c r="I4" s="49" t="s">
        <v>162</v>
      </c>
      <c r="J4" s="49" t="s">
        <v>210</v>
      </c>
    </row>
    <row r="5" spans="1:10" ht="15" customHeight="1" thickBot="1" x14ac:dyDescent="0.35">
      <c r="A5" s="2"/>
      <c r="B5" s="53"/>
      <c r="C5" s="7"/>
      <c r="D5" s="7"/>
      <c r="E5" s="64"/>
      <c r="F5" s="7"/>
      <c r="G5" s="7"/>
      <c r="H5" s="50"/>
      <c r="I5" s="51"/>
      <c r="J5" s="103"/>
    </row>
    <row r="6" spans="1:10" x14ac:dyDescent="0.3">
      <c r="B6" s="54" t="s">
        <v>0</v>
      </c>
      <c r="C6" s="113">
        <f>Príjmy!G45</f>
        <v>1022115.21</v>
      </c>
      <c r="D6" s="113">
        <f>Príjmy!I45</f>
        <v>1068988.5099999998</v>
      </c>
      <c r="E6" s="114">
        <f>Príjmy!I45</f>
        <v>1068988.5099999998</v>
      </c>
      <c r="F6" s="113">
        <f>Príjmy!J45</f>
        <v>1076695</v>
      </c>
      <c r="G6" s="113">
        <f>Príjmy!K45</f>
        <v>1080753.8</v>
      </c>
      <c r="H6" s="115">
        <f>Príjmy!L45</f>
        <v>1146349</v>
      </c>
      <c r="I6" s="116">
        <f>Príjmy!M45</f>
        <v>1194137</v>
      </c>
      <c r="J6" s="117">
        <f>Príjmy!N45</f>
        <v>1253787</v>
      </c>
    </row>
    <row r="7" spans="1:10" x14ac:dyDescent="0.3">
      <c r="B7" s="45" t="s">
        <v>1</v>
      </c>
      <c r="C7" s="118">
        <f>Príjmy!G54</f>
        <v>9391</v>
      </c>
      <c r="D7" s="118">
        <f>Príjmy!I54</f>
        <v>10500</v>
      </c>
      <c r="E7" s="119">
        <f>Príjmy!I54</f>
        <v>10500</v>
      </c>
      <c r="F7" s="118">
        <f>Príjmy!J54</f>
        <v>0</v>
      </c>
      <c r="G7" s="118">
        <f>Príjmy!K54</f>
        <v>23687</v>
      </c>
      <c r="H7" s="120">
        <f>Príjmy!L54</f>
        <v>253196</v>
      </c>
      <c r="I7" s="121">
        <f>Príjmy!M54</f>
        <v>0</v>
      </c>
      <c r="J7" s="122">
        <f>Príjmy!N54</f>
        <v>0</v>
      </c>
    </row>
    <row r="8" spans="1:10" x14ac:dyDescent="0.3">
      <c r="B8" s="45" t="s">
        <v>2</v>
      </c>
      <c r="C8" s="118">
        <f>Príjmy!G64</f>
        <v>3432.89</v>
      </c>
      <c r="D8" s="118">
        <f>Príjmy!I64</f>
        <v>72913.36</v>
      </c>
      <c r="E8" s="119">
        <f>Príjmy!I64</f>
        <v>72913.36</v>
      </c>
      <c r="F8" s="118">
        <f>Príjmy!J64</f>
        <v>25000</v>
      </c>
      <c r="G8" s="118">
        <f>Príjmy!K64</f>
        <v>123095.3</v>
      </c>
      <c r="H8" s="120">
        <f>Príjmy!L64</f>
        <v>880178</v>
      </c>
      <c r="I8" s="121">
        <f>Príjmy!M64</f>
        <v>0</v>
      </c>
      <c r="J8" s="122">
        <f>Príjmy!N64</f>
        <v>0</v>
      </c>
    </row>
    <row r="9" spans="1:10" x14ac:dyDescent="0.3">
      <c r="B9" s="45" t="s">
        <v>3</v>
      </c>
      <c r="C9" s="118"/>
      <c r="D9" s="118"/>
      <c r="E9" s="119"/>
      <c r="F9" s="118"/>
      <c r="G9" s="118"/>
      <c r="H9" s="120"/>
      <c r="I9" s="121"/>
      <c r="J9" s="122"/>
    </row>
    <row r="10" spans="1:10" x14ac:dyDescent="0.3">
      <c r="B10" s="45" t="s">
        <v>4</v>
      </c>
      <c r="C10" s="118">
        <f>Príjmy!G72</f>
        <v>29680.86</v>
      </c>
      <c r="D10" s="118">
        <f>Príjmy!I72</f>
        <v>58286.18</v>
      </c>
      <c r="E10" s="65"/>
      <c r="F10" s="118">
        <f>Príjmy!J72</f>
        <v>25500</v>
      </c>
      <c r="G10" s="118">
        <f>Príjmy!K72</f>
        <v>23510.59</v>
      </c>
      <c r="H10" s="120">
        <f>Príjmy!L72</f>
        <v>26000</v>
      </c>
      <c r="I10" s="121">
        <f>Príjmy!M72</f>
        <v>26000</v>
      </c>
      <c r="J10" s="122">
        <f>Príjmy!N72</f>
        <v>26000</v>
      </c>
    </row>
    <row r="11" spans="1:10" x14ac:dyDescent="0.3">
      <c r="B11" s="45" t="s">
        <v>5</v>
      </c>
      <c r="C11" s="118"/>
      <c r="D11" s="118"/>
      <c r="E11" s="119"/>
      <c r="F11" s="118"/>
      <c r="G11" s="118"/>
      <c r="H11" s="120"/>
      <c r="I11" s="121"/>
      <c r="J11" s="122"/>
    </row>
    <row r="12" spans="1:10" x14ac:dyDescent="0.3">
      <c r="B12" s="45" t="s">
        <v>6</v>
      </c>
      <c r="C12" s="118"/>
      <c r="D12" s="118"/>
      <c r="E12" s="119"/>
      <c r="F12" s="118"/>
      <c r="G12" s="118"/>
      <c r="H12" s="120"/>
      <c r="I12" s="121"/>
      <c r="J12" s="122"/>
    </row>
    <row r="13" spans="1:10" x14ac:dyDescent="0.3">
      <c r="B13" s="45"/>
      <c r="C13" s="118"/>
      <c r="D13" s="118"/>
      <c r="E13" s="119"/>
      <c r="F13" s="118"/>
      <c r="G13" s="118"/>
      <c r="H13" s="120"/>
      <c r="I13" s="121"/>
      <c r="J13" s="122"/>
    </row>
    <row r="14" spans="1:10" ht="15" thickBot="1" x14ac:dyDescent="0.35">
      <c r="A14" s="3"/>
      <c r="B14" s="55" t="s">
        <v>7</v>
      </c>
      <c r="C14" s="123">
        <f t="shared" ref="C14" si="0">SUM(C6:C12)</f>
        <v>1064619.96</v>
      </c>
      <c r="D14" s="123">
        <f>SUM(D6:D12)</f>
        <v>1210688.0499999998</v>
      </c>
      <c r="E14" s="124">
        <f>E6+E7+E8+E10</f>
        <v>1152401.8699999999</v>
      </c>
      <c r="F14" s="123">
        <f>F6+F7+F8+F10</f>
        <v>1127195</v>
      </c>
      <c r="G14" s="123">
        <f>G6+G7+G8+G10</f>
        <v>1251046.6900000002</v>
      </c>
      <c r="H14" s="125">
        <f>SUM(H6:H12)</f>
        <v>2305723</v>
      </c>
      <c r="I14" s="126">
        <f>SUM(I6:I11)</f>
        <v>1220137</v>
      </c>
      <c r="J14" s="126">
        <f>SUM(J6:J12)</f>
        <v>1279787</v>
      </c>
    </row>
    <row r="15" spans="1:10" ht="15" thickBot="1" x14ac:dyDescent="0.35">
      <c r="B15" s="56"/>
      <c r="C15" s="127"/>
      <c r="D15" s="127"/>
      <c r="E15" s="128"/>
      <c r="F15" s="127"/>
      <c r="G15" s="127"/>
      <c r="H15" s="129"/>
      <c r="I15" s="130"/>
      <c r="J15" s="131"/>
    </row>
    <row r="16" spans="1:10" x14ac:dyDescent="0.3">
      <c r="B16" s="4" t="s">
        <v>8</v>
      </c>
      <c r="C16" s="113">
        <f>Výdavky!G183</f>
        <v>372174.41000000003</v>
      </c>
      <c r="D16" s="113">
        <f>Výdavky!I183</f>
        <v>346090.84999999992</v>
      </c>
      <c r="E16" s="114">
        <f>Výdavky!I183</f>
        <v>346090.84999999992</v>
      </c>
      <c r="F16" s="113">
        <f>Výdavky!J183</f>
        <v>454531</v>
      </c>
      <c r="G16" s="113">
        <f>Výdavky!K183</f>
        <v>362425.95</v>
      </c>
      <c r="H16" s="115">
        <f>Výdavky!L183</f>
        <v>505213</v>
      </c>
      <c r="I16" s="115">
        <f>Výdavky!M183</f>
        <v>492813</v>
      </c>
      <c r="J16" s="117">
        <f>Výdavky!N183</f>
        <v>491813</v>
      </c>
    </row>
    <row r="17" spans="1:10" x14ac:dyDescent="0.3">
      <c r="B17" s="5" t="s">
        <v>9</v>
      </c>
      <c r="C17" s="118">
        <f>Výdavky!G205</f>
        <v>56490.05</v>
      </c>
      <c r="D17" s="118">
        <f>Výdavky!I205</f>
        <v>67348</v>
      </c>
      <c r="E17" s="119">
        <f>Výdavky!I205</f>
        <v>67348</v>
      </c>
      <c r="F17" s="118">
        <f>Výdavky!J205</f>
        <v>44420</v>
      </c>
      <c r="G17" s="118">
        <f>Výdavky!K205</f>
        <v>183586.4</v>
      </c>
      <c r="H17" s="120">
        <f>Výdavky!L205</f>
        <v>1137168</v>
      </c>
      <c r="I17" s="120">
        <f>Výdavky!M205</f>
        <v>27053</v>
      </c>
      <c r="J17" s="122">
        <f>Výdavky!N205</f>
        <v>38984</v>
      </c>
    </row>
    <row r="18" spans="1:10" x14ac:dyDescent="0.3">
      <c r="B18" s="5" t="s">
        <v>10</v>
      </c>
      <c r="C18" s="118">
        <f>Výdavky!G210</f>
        <v>140995</v>
      </c>
      <c r="D18" s="118">
        <f>Výdavky!I210</f>
        <v>142262.17000000001</v>
      </c>
      <c r="E18" s="119">
        <f>Výdavky!I210</f>
        <v>142262.17000000001</v>
      </c>
      <c r="F18" s="118">
        <f>Výdavky!J210</f>
        <v>145000</v>
      </c>
      <c r="G18" s="118">
        <f>Výdavky!K210</f>
        <v>143000</v>
      </c>
      <c r="H18" s="120">
        <f>Výdavky!L210</f>
        <v>165224</v>
      </c>
      <c r="I18" s="120">
        <f>Výdavky!M210</f>
        <v>166224</v>
      </c>
      <c r="J18" s="122">
        <f>Výdavky!N210</f>
        <v>168224</v>
      </c>
    </row>
    <row r="19" spans="1:10" x14ac:dyDescent="0.3">
      <c r="B19" s="5" t="s">
        <v>11</v>
      </c>
      <c r="C19" s="118"/>
      <c r="D19" s="118"/>
      <c r="E19" s="119"/>
      <c r="F19" s="118"/>
      <c r="G19" s="118"/>
      <c r="H19" s="120"/>
      <c r="I19" s="120"/>
      <c r="J19" s="122"/>
    </row>
    <row r="20" spans="1:10" x14ac:dyDescent="0.3">
      <c r="B20" s="5" t="s">
        <v>12</v>
      </c>
      <c r="C20" s="118">
        <f>Výdavky!G222</f>
        <v>426288.96</v>
      </c>
      <c r="D20" s="118">
        <f>Výdavky!I222</f>
        <v>473126.76</v>
      </c>
      <c r="E20" s="65"/>
      <c r="F20" s="118">
        <f>Výdavky!J222</f>
        <v>483244</v>
      </c>
      <c r="G20" s="118">
        <f>Výdavky!K222</f>
        <v>480000</v>
      </c>
      <c r="H20" s="120">
        <f>Výdavky!L222</f>
        <v>498118</v>
      </c>
      <c r="I20" s="120">
        <f>Výdavky!M222</f>
        <v>534047</v>
      </c>
      <c r="J20" s="122">
        <f>Výdavky!N222</f>
        <v>580766</v>
      </c>
    </row>
    <row r="21" spans="1:10" x14ac:dyDescent="0.3">
      <c r="B21" s="5" t="s">
        <v>15</v>
      </c>
      <c r="C21" s="118"/>
      <c r="D21" s="118"/>
      <c r="E21" s="119"/>
      <c r="F21" s="118"/>
      <c r="G21" s="118"/>
      <c r="H21" s="120"/>
      <c r="I21" s="120"/>
      <c r="J21" s="122"/>
    </row>
    <row r="22" spans="1:10" x14ac:dyDescent="0.3">
      <c r="B22" s="5"/>
      <c r="C22" s="118"/>
      <c r="D22" s="118"/>
      <c r="E22" s="119"/>
      <c r="F22" s="118"/>
      <c r="G22" s="118"/>
      <c r="H22" s="120"/>
      <c r="I22" s="120"/>
      <c r="J22" s="122"/>
    </row>
    <row r="23" spans="1:10" x14ac:dyDescent="0.3">
      <c r="A23" s="3"/>
      <c r="B23" s="46" t="s">
        <v>13</v>
      </c>
      <c r="C23" s="132">
        <f t="shared" ref="C23" si="1">SUM(C16:C21)</f>
        <v>995948.41999999993</v>
      </c>
      <c r="D23" s="132">
        <f>SUM(D16:D21)</f>
        <v>1028827.7799999999</v>
      </c>
      <c r="E23" s="119">
        <f>E16+E17+E18+E20</f>
        <v>555701.0199999999</v>
      </c>
      <c r="F23" s="132">
        <f>SUM(F16:F22)</f>
        <v>1127195</v>
      </c>
      <c r="G23" s="132">
        <f>G16+G17+G18+G20</f>
        <v>1169012.3500000001</v>
      </c>
      <c r="H23" s="132">
        <f>SUM(H16:H22)</f>
        <v>2305723</v>
      </c>
      <c r="I23" s="132">
        <f>SUM(I16:I22)</f>
        <v>1220137</v>
      </c>
      <c r="J23" s="132">
        <f>J16+J17+J18+J20</f>
        <v>1279787</v>
      </c>
    </row>
    <row r="24" spans="1:10" x14ac:dyDescent="0.3">
      <c r="B24" s="5"/>
      <c r="C24" s="118"/>
      <c r="D24" s="118"/>
      <c r="E24" s="119"/>
      <c r="F24" s="118"/>
      <c r="G24" s="118"/>
      <c r="H24" s="120"/>
      <c r="I24" s="120"/>
      <c r="J24" s="122"/>
    </row>
    <row r="25" spans="1:10" ht="15" thickBot="1" x14ac:dyDescent="0.35">
      <c r="A25" s="3"/>
      <c r="B25" s="104" t="s">
        <v>14</v>
      </c>
      <c r="C25" s="133">
        <f t="shared" ref="C25" si="2">C14-C23</f>
        <v>68671.540000000037</v>
      </c>
      <c r="D25" s="133">
        <f>D14-D23</f>
        <v>181860.2699999999</v>
      </c>
      <c r="E25" s="124">
        <f>E14-E23</f>
        <v>596700.85</v>
      </c>
      <c r="F25" s="133">
        <f>F14-F23</f>
        <v>0</v>
      </c>
      <c r="G25" s="133">
        <f>G14-G23</f>
        <v>82034.340000000084</v>
      </c>
      <c r="H25" s="133">
        <f>H14-H23</f>
        <v>0</v>
      </c>
      <c r="I25" s="133">
        <f t="shared" ref="I25:J25" si="3">I14-I23</f>
        <v>0</v>
      </c>
      <c r="J25" s="133">
        <f t="shared" si="3"/>
        <v>0</v>
      </c>
    </row>
    <row r="28" spans="1:10" x14ac:dyDescent="0.3">
      <c r="H28" s="1"/>
    </row>
    <row r="29" spans="1:10" x14ac:dyDescent="0.3">
      <c r="D29" s="67"/>
      <c r="E29" s="68"/>
      <c r="F29" s="68"/>
      <c r="G29" s="68"/>
      <c r="H29" s="97"/>
      <c r="I29" s="68"/>
    </row>
  </sheetData>
  <pageMargins left="0.7" right="0.7" top="0.75" bottom="0.75" header="0.3" footer="0.3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F895C-477D-48D9-A73C-BA903A89BF9D}">
  <sheetPr>
    <pageSetUpPr fitToPage="1"/>
  </sheetPr>
  <dimension ref="B1:AD74"/>
  <sheetViews>
    <sheetView topLeftCell="A44" zoomScaleNormal="100" workbookViewId="0">
      <selection activeCell="B2" sqref="B2:N74"/>
    </sheetView>
  </sheetViews>
  <sheetFormatPr defaultRowHeight="14.4" x14ac:dyDescent="0.3"/>
  <cols>
    <col min="4" max="4" width="13.109375" customWidth="1"/>
    <col min="5" max="5" width="8.88671875" customWidth="1"/>
    <col min="6" max="6" width="63.5546875" customWidth="1"/>
    <col min="7" max="7" width="12.6640625" style="60" customWidth="1"/>
    <col min="8" max="8" width="12.6640625" style="1" hidden="1" customWidth="1"/>
    <col min="9" max="9" width="13.88671875" style="1" customWidth="1"/>
    <col min="10" max="12" width="12.6640625" style="1" customWidth="1"/>
    <col min="13" max="14" width="12.6640625" customWidth="1"/>
    <col min="16" max="16" width="11" bestFit="1" customWidth="1"/>
  </cols>
  <sheetData>
    <row r="1" spans="2:30" ht="11.4" customHeight="1" thickBot="1" x14ac:dyDescent="0.35"/>
    <row r="2" spans="2:30" ht="42" customHeight="1" thickBot="1" x14ac:dyDescent="0.35">
      <c r="B2" s="217" t="s">
        <v>211</v>
      </c>
      <c r="C2" s="218"/>
      <c r="D2" s="219"/>
      <c r="E2" s="105"/>
      <c r="F2" s="106" t="s">
        <v>27</v>
      </c>
      <c r="G2" s="88" t="s">
        <v>163</v>
      </c>
      <c r="H2" s="89" t="s">
        <v>127</v>
      </c>
      <c r="I2" s="89" t="s">
        <v>241</v>
      </c>
      <c r="J2" s="89" t="s">
        <v>209</v>
      </c>
      <c r="K2" s="89" t="s">
        <v>213</v>
      </c>
      <c r="L2" s="88" t="s">
        <v>214</v>
      </c>
      <c r="M2" s="107" t="s">
        <v>162</v>
      </c>
      <c r="N2" s="107" t="s">
        <v>210</v>
      </c>
    </row>
    <row r="3" spans="2:30" ht="15" thickBot="1" x14ac:dyDescent="0.35">
      <c r="B3" s="86" t="s">
        <v>77</v>
      </c>
      <c r="C3" s="108" t="s">
        <v>78</v>
      </c>
      <c r="D3" s="108" t="s">
        <v>79</v>
      </c>
      <c r="E3" s="108"/>
      <c r="F3" s="87"/>
      <c r="G3" s="90"/>
      <c r="H3" s="91"/>
      <c r="I3" s="91"/>
      <c r="J3" s="91"/>
      <c r="K3" s="91"/>
      <c r="L3" s="91"/>
      <c r="M3" s="109"/>
      <c r="N3" s="109"/>
    </row>
    <row r="4" spans="2:30" x14ac:dyDescent="0.3">
      <c r="B4" s="92"/>
      <c r="C4" s="93"/>
      <c r="D4" s="98"/>
      <c r="E4" s="38" t="s">
        <v>25</v>
      </c>
      <c r="F4" s="98"/>
      <c r="G4" s="100"/>
      <c r="H4" s="101"/>
      <c r="I4" s="101"/>
      <c r="J4" s="101"/>
      <c r="K4" s="101"/>
      <c r="L4" s="99"/>
      <c r="M4" s="102"/>
      <c r="N4" s="8"/>
    </row>
    <row r="5" spans="2:30" x14ac:dyDescent="0.3">
      <c r="B5" s="12">
        <v>111</v>
      </c>
      <c r="C5" s="10">
        <v>312</v>
      </c>
      <c r="D5" s="28" t="s">
        <v>81</v>
      </c>
      <c r="E5" s="5"/>
      <c r="F5" s="77" t="s">
        <v>16</v>
      </c>
      <c r="G5" s="135">
        <v>36931.699999999997</v>
      </c>
      <c r="H5" s="136">
        <v>15000</v>
      </c>
      <c r="I5" s="137">
        <v>14231.86</v>
      </c>
      <c r="J5" s="138">
        <f>14200-50</f>
        <v>14150</v>
      </c>
      <c r="K5" s="138">
        <f>11509+2000</f>
        <v>13509</v>
      </c>
      <c r="L5" s="139">
        <v>15000</v>
      </c>
      <c r="M5" s="140">
        <v>15000</v>
      </c>
      <c r="N5" s="122">
        <v>15000</v>
      </c>
    </row>
    <row r="6" spans="2:30" x14ac:dyDescent="0.3">
      <c r="B6" s="12">
        <v>111</v>
      </c>
      <c r="C6" s="10">
        <v>312</v>
      </c>
      <c r="D6" s="28" t="s">
        <v>82</v>
      </c>
      <c r="E6" s="5"/>
      <c r="F6" s="77" t="s">
        <v>201</v>
      </c>
      <c r="G6" s="135">
        <v>0</v>
      </c>
      <c r="H6" s="136">
        <v>10607</v>
      </c>
      <c r="I6" s="141">
        <v>11276</v>
      </c>
      <c r="J6" s="138">
        <f>114797+7000</f>
        <v>121797</v>
      </c>
      <c r="K6" s="138">
        <v>106706</v>
      </c>
      <c r="L6" s="139">
        <v>128946</v>
      </c>
      <c r="M6" s="140">
        <v>140723</v>
      </c>
      <c r="N6" s="216">
        <v>153877</v>
      </c>
      <c r="O6" s="134"/>
      <c r="AD6" t="s">
        <v>243</v>
      </c>
    </row>
    <row r="7" spans="2:30" x14ac:dyDescent="0.3">
      <c r="B7" s="12">
        <v>111</v>
      </c>
      <c r="C7" s="10">
        <v>312</v>
      </c>
      <c r="D7" s="28" t="s">
        <v>82</v>
      </c>
      <c r="E7" s="5"/>
      <c r="F7" s="66" t="s">
        <v>128</v>
      </c>
      <c r="G7" s="135">
        <v>208704.66</v>
      </c>
      <c r="H7" s="142">
        <v>157282</v>
      </c>
      <c r="I7" s="135">
        <v>168724</v>
      </c>
      <c r="J7" s="138">
        <v>178904</v>
      </c>
      <c r="K7" s="138">
        <f>178904+3554</f>
        <v>182458</v>
      </c>
      <c r="L7" s="139">
        <v>185243</v>
      </c>
      <c r="M7" s="140">
        <v>198512</v>
      </c>
      <c r="N7" s="122">
        <v>218501</v>
      </c>
    </row>
    <row r="8" spans="2:30" x14ac:dyDescent="0.3">
      <c r="B8" s="12">
        <v>111</v>
      </c>
      <c r="C8" s="10">
        <v>312</v>
      </c>
      <c r="D8" s="28" t="s">
        <v>82</v>
      </c>
      <c r="E8" s="5"/>
      <c r="F8" s="66" t="s">
        <v>206</v>
      </c>
      <c r="G8" s="135">
        <v>0</v>
      </c>
      <c r="H8" s="136">
        <v>15000</v>
      </c>
      <c r="I8" s="141">
        <v>21690</v>
      </c>
      <c r="J8" s="138">
        <f>31000+7000</f>
        <v>38000</v>
      </c>
      <c r="K8" s="138">
        <v>30000</v>
      </c>
      <c r="L8" s="139">
        <v>32000</v>
      </c>
      <c r="M8" s="140">
        <v>35000</v>
      </c>
      <c r="N8" s="122">
        <v>37000</v>
      </c>
    </row>
    <row r="9" spans="2:30" s="63" customFormat="1" x14ac:dyDescent="0.3">
      <c r="B9" s="12" t="s">
        <v>204</v>
      </c>
      <c r="C9" s="10" t="s">
        <v>151</v>
      </c>
      <c r="D9" s="28" t="s">
        <v>82</v>
      </c>
      <c r="E9" s="5"/>
      <c r="F9" s="66" t="s">
        <v>205</v>
      </c>
      <c r="G9" s="135">
        <v>0</v>
      </c>
      <c r="H9" s="136">
        <v>0</v>
      </c>
      <c r="I9" s="141">
        <v>0</v>
      </c>
      <c r="J9" s="138">
        <v>18000</v>
      </c>
      <c r="K9" s="138">
        <v>17648</v>
      </c>
      <c r="L9" s="139">
        <v>20000</v>
      </c>
      <c r="M9" s="140">
        <v>22000</v>
      </c>
      <c r="N9" s="122">
        <v>24000</v>
      </c>
    </row>
    <row r="10" spans="2:30" x14ac:dyDescent="0.3">
      <c r="B10" s="12">
        <v>111</v>
      </c>
      <c r="C10" s="10">
        <v>312</v>
      </c>
      <c r="D10" s="28" t="s">
        <v>82</v>
      </c>
      <c r="E10" s="5"/>
      <c r="F10" s="66" t="s">
        <v>132</v>
      </c>
      <c r="G10" s="135">
        <v>0</v>
      </c>
      <c r="H10" s="136">
        <v>14000</v>
      </c>
      <c r="I10" s="141">
        <v>16636.900000000001</v>
      </c>
      <c r="J10" s="138">
        <v>0</v>
      </c>
      <c r="K10" s="138">
        <v>16102.8</v>
      </c>
      <c r="L10" s="139">
        <v>16000</v>
      </c>
      <c r="M10" s="140">
        <v>16000</v>
      </c>
      <c r="N10" s="212">
        <v>16000</v>
      </c>
    </row>
    <row r="11" spans="2:30" ht="14.4" customHeight="1" x14ac:dyDescent="0.3">
      <c r="B11" s="12">
        <v>111</v>
      </c>
      <c r="C11" s="10">
        <v>312</v>
      </c>
      <c r="D11" s="28" t="s">
        <v>82</v>
      </c>
      <c r="E11" s="5"/>
      <c r="F11" s="66" t="s">
        <v>133</v>
      </c>
      <c r="G11" s="135">
        <v>0</v>
      </c>
      <c r="H11" s="142">
        <v>5000</v>
      </c>
      <c r="I11" s="141">
        <f>'[1]Plnenie príjmov'!$G$6</f>
        <v>2048</v>
      </c>
      <c r="J11" s="138">
        <v>2500</v>
      </c>
      <c r="K11" s="138">
        <v>2000</v>
      </c>
      <c r="L11" s="139">
        <v>2500</v>
      </c>
      <c r="M11" s="140">
        <v>2500</v>
      </c>
      <c r="N11" s="122">
        <v>2500</v>
      </c>
    </row>
    <row r="12" spans="2:30" s="63" customFormat="1" ht="14.4" customHeight="1" x14ac:dyDescent="0.3">
      <c r="B12" s="12" t="s">
        <v>176</v>
      </c>
      <c r="C12" s="10" t="s">
        <v>151</v>
      </c>
      <c r="D12" s="28" t="s">
        <v>83</v>
      </c>
      <c r="E12" s="5"/>
      <c r="F12" s="66" t="s">
        <v>177</v>
      </c>
      <c r="G12" s="135"/>
      <c r="H12" s="142">
        <v>0</v>
      </c>
      <c r="I12" s="141">
        <f>'[2]Plnenie príjmov'!$G$8</f>
        <v>3490.01</v>
      </c>
      <c r="J12" s="138">
        <v>0</v>
      </c>
      <c r="K12" s="138">
        <v>0</v>
      </c>
      <c r="L12" s="139">
        <v>0</v>
      </c>
      <c r="M12" s="140">
        <v>0</v>
      </c>
      <c r="N12" s="122">
        <v>0</v>
      </c>
    </row>
    <row r="13" spans="2:30" s="63" customFormat="1" ht="14.4" customHeight="1" x14ac:dyDescent="0.3">
      <c r="B13" s="12" t="s">
        <v>176</v>
      </c>
      <c r="C13" s="10" t="s">
        <v>151</v>
      </c>
      <c r="D13" s="28" t="s">
        <v>178</v>
      </c>
      <c r="E13" s="5"/>
      <c r="F13" s="66" t="s">
        <v>179</v>
      </c>
      <c r="G13" s="135"/>
      <c r="H13" s="142">
        <v>0</v>
      </c>
      <c r="I13" s="141">
        <f>'[2]Plnenie príjmov'!$G$10</f>
        <v>7515.34</v>
      </c>
      <c r="J13" s="138">
        <v>0</v>
      </c>
      <c r="K13" s="138">
        <v>0</v>
      </c>
      <c r="L13" s="139">
        <v>0</v>
      </c>
      <c r="M13" s="140">
        <v>0</v>
      </c>
      <c r="N13" s="122">
        <v>0</v>
      </c>
    </row>
    <row r="14" spans="2:30" x14ac:dyDescent="0.3">
      <c r="B14" s="12" t="s">
        <v>80</v>
      </c>
      <c r="C14" s="10">
        <v>312</v>
      </c>
      <c r="D14" s="28" t="s">
        <v>83</v>
      </c>
      <c r="E14" s="5"/>
      <c r="F14" s="78" t="s">
        <v>17</v>
      </c>
      <c r="G14" s="135">
        <v>21183.78</v>
      </c>
      <c r="H14" s="138">
        <v>0</v>
      </c>
      <c r="I14" s="141">
        <v>0</v>
      </c>
      <c r="J14" s="138">
        <v>0</v>
      </c>
      <c r="K14" s="138">
        <v>0</v>
      </c>
      <c r="L14" s="139">
        <v>0</v>
      </c>
      <c r="M14" s="140">
        <v>0</v>
      </c>
      <c r="N14" s="122">
        <v>0</v>
      </c>
    </row>
    <row r="15" spans="2:30" s="63" customFormat="1" x14ac:dyDescent="0.3">
      <c r="B15" s="57" t="s">
        <v>189</v>
      </c>
      <c r="C15" s="10" t="s">
        <v>151</v>
      </c>
      <c r="D15" s="28" t="s">
        <v>83</v>
      </c>
      <c r="E15" s="5"/>
      <c r="F15" s="78" t="s">
        <v>17</v>
      </c>
      <c r="G15" s="135"/>
      <c r="H15" s="136">
        <v>0</v>
      </c>
      <c r="I15" s="137">
        <v>17507.14</v>
      </c>
      <c r="J15" s="138">
        <v>0</v>
      </c>
      <c r="K15" s="138">
        <v>0</v>
      </c>
      <c r="L15" s="138">
        <v>0</v>
      </c>
      <c r="M15" s="143">
        <v>0</v>
      </c>
      <c r="N15" s="122">
        <v>0</v>
      </c>
    </row>
    <row r="16" spans="2:30" s="63" customFormat="1" x14ac:dyDescent="0.3">
      <c r="B16" s="57" t="s">
        <v>190</v>
      </c>
      <c r="C16" s="10" t="s">
        <v>151</v>
      </c>
      <c r="D16" s="28" t="s">
        <v>83</v>
      </c>
      <c r="E16" s="5"/>
      <c r="F16" s="78" t="s">
        <v>17</v>
      </c>
      <c r="G16" s="135"/>
      <c r="H16" s="136">
        <v>0</v>
      </c>
      <c r="I16" s="137">
        <v>2140.6</v>
      </c>
      <c r="J16" s="138">
        <v>0</v>
      </c>
      <c r="K16" s="138">
        <v>0</v>
      </c>
      <c r="L16" s="138">
        <v>0</v>
      </c>
      <c r="M16" s="143">
        <v>0</v>
      </c>
      <c r="N16" s="122">
        <v>0</v>
      </c>
    </row>
    <row r="17" spans="2:22" s="63" customFormat="1" x14ac:dyDescent="0.3">
      <c r="B17" s="57" t="s">
        <v>191</v>
      </c>
      <c r="C17" s="10" t="s">
        <v>151</v>
      </c>
      <c r="D17" s="28" t="s">
        <v>83</v>
      </c>
      <c r="E17" s="5"/>
      <c r="F17" s="78" t="s">
        <v>17</v>
      </c>
      <c r="G17" s="135"/>
      <c r="H17" s="136">
        <v>0</v>
      </c>
      <c r="I17" s="137">
        <v>7713.33</v>
      </c>
      <c r="J17" s="138">
        <v>0</v>
      </c>
      <c r="K17" s="138">
        <v>0</v>
      </c>
      <c r="L17" s="138">
        <v>0</v>
      </c>
      <c r="M17" s="143">
        <v>0</v>
      </c>
      <c r="N17" s="122">
        <v>0</v>
      </c>
    </row>
    <row r="18" spans="2:22" s="63" customFormat="1" x14ac:dyDescent="0.3">
      <c r="B18" s="57" t="s">
        <v>192</v>
      </c>
      <c r="C18" s="10" t="s">
        <v>151</v>
      </c>
      <c r="D18" s="28" t="s">
        <v>83</v>
      </c>
      <c r="E18" s="5"/>
      <c r="F18" s="78" t="s">
        <v>17</v>
      </c>
      <c r="G18" s="135"/>
      <c r="H18" s="136">
        <v>0</v>
      </c>
      <c r="I18" s="137">
        <v>1738.93</v>
      </c>
      <c r="J18" s="138">
        <v>0</v>
      </c>
      <c r="K18" s="138">
        <v>0</v>
      </c>
      <c r="L18" s="138">
        <v>0</v>
      </c>
      <c r="M18" s="143">
        <v>0</v>
      </c>
      <c r="N18" s="122">
        <v>0</v>
      </c>
    </row>
    <row r="19" spans="2:22" x14ac:dyDescent="0.3">
      <c r="B19" s="12" t="s">
        <v>150</v>
      </c>
      <c r="C19" s="10" t="s">
        <v>151</v>
      </c>
      <c r="D19" s="28" t="s">
        <v>81</v>
      </c>
      <c r="E19" s="5"/>
      <c r="F19" s="78" t="s">
        <v>143</v>
      </c>
      <c r="G19" s="135">
        <v>12138.5</v>
      </c>
      <c r="H19" s="136">
        <v>0</v>
      </c>
      <c r="I19" s="141">
        <v>5625</v>
      </c>
      <c r="J19" s="138">
        <v>0</v>
      </c>
      <c r="K19" s="138">
        <v>2400</v>
      </c>
      <c r="L19" s="139">
        <v>0</v>
      </c>
      <c r="M19" s="140">
        <v>0</v>
      </c>
      <c r="N19" s="122">
        <v>0</v>
      </c>
    </row>
    <row r="20" spans="2:22" s="63" customFormat="1" x14ac:dyDescent="0.3">
      <c r="B20" s="12" t="s">
        <v>150</v>
      </c>
      <c r="C20" s="10" t="s">
        <v>151</v>
      </c>
      <c r="D20" s="28" t="s">
        <v>82</v>
      </c>
      <c r="E20" s="5"/>
      <c r="F20" s="59" t="s">
        <v>180</v>
      </c>
      <c r="G20" s="135"/>
      <c r="H20" s="136">
        <v>0</v>
      </c>
      <c r="I20" s="141">
        <v>2782</v>
      </c>
      <c r="J20" s="138">
        <v>2000</v>
      </c>
      <c r="K20" s="138">
        <v>1730</v>
      </c>
      <c r="L20" s="139">
        <v>0</v>
      </c>
      <c r="M20" s="140">
        <v>0</v>
      </c>
      <c r="N20" s="122">
        <v>0</v>
      </c>
    </row>
    <row r="21" spans="2:22" x14ac:dyDescent="0.3">
      <c r="B21" s="61" t="s">
        <v>152</v>
      </c>
      <c r="C21" s="10" t="s">
        <v>151</v>
      </c>
      <c r="D21" s="28" t="s">
        <v>82</v>
      </c>
      <c r="E21" s="5"/>
      <c r="F21" s="79" t="s">
        <v>158</v>
      </c>
      <c r="G21" s="135">
        <v>437</v>
      </c>
      <c r="H21" s="136">
        <v>0</v>
      </c>
      <c r="I21" s="137">
        <v>0</v>
      </c>
      <c r="J21" s="136">
        <v>0</v>
      </c>
      <c r="K21" s="136">
        <v>0</v>
      </c>
      <c r="L21" s="144">
        <v>0</v>
      </c>
      <c r="M21" s="145">
        <v>0</v>
      </c>
      <c r="N21" s="122">
        <v>0</v>
      </c>
    </row>
    <row r="22" spans="2:22" s="63" customFormat="1" x14ac:dyDescent="0.3">
      <c r="B22" s="57" t="s">
        <v>134</v>
      </c>
      <c r="C22" s="58" t="s">
        <v>139</v>
      </c>
      <c r="D22" s="76" t="s">
        <v>81</v>
      </c>
      <c r="E22" s="5"/>
      <c r="F22" s="214" t="s">
        <v>185</v>
      </c>
      <c r="G22" s="135"/>
      <c r="H22" s="136">
        <v>0</v>
      </c>
      <c r="I22" s="137">
        <v>915.6</v>
      </c>
      <c r="J22" s="136">
        <v>0</v>
      </c>
      <c r="K22" s="136">
        <v>950</v>
      </c>
      <c r="L22" s="144">
        <v>500</v>
      </c>
      <c r="M22" s="145">
        <v>500</v>
      </c>
      <c r="N22" s="122">
        <v>500</v>
      </c>
    </row>
    <row r="23" spans="2:22" s="63" customFormat="1" x14ac:dyDescent="0.3">
      <c r="B23" s="57" t="s">
        <v>134</v>
      </c>
      <c r="C23" s="58" t="s">
        <v>139</v>
      </c>
      <c r="D23" s="76" t="s">
        <v>85</v>
      </c>
      <c r="E23" s="5"/>
      <c r="F23" s="59" t="s">
        <v>239</v>
      </c>
      <c r="G23" s="135">
        <v>0</v>
      </c>
      <c r="H23" s="136">
        <v>50000</v>
      </c>
      <c r="I23" s="137">
        <v>0</v>
      </c>
      <c r="J23" s="136">
        <v>0</v>
      </c>
      <c r="K23" s="136">
        <v>0</v>
      </c>
      <c r="L23" s="144">
        <v>0</v>
      </c>
      <c r="M23" s="145">
        <v>0</v>
      </c>
      <c r="N23" s="122">
        <v>0</v>
      </c>
    </row>
    <row r="24" spans="2:22" x14ac:dyDescent="0.3">
      <c r="B24" s="12">
        <v>41</v>
      </c>
      <c r="C24" s="10">
        <v>111</v>
      </c>
      <c r="D24" s="28" t="s">
        <v>84</v>
      </c>
      <c r="E24" s="5"/>
      <c r="F24" s="80" t="s">
        <v>64</v>
      </c>
      <c r="G24" s="135">
        <v>481217.73</v>
      </c>
      <c r="H24" s="142">
        <v>473794</v>
      </c>
      <c r="I24" s="141">
        <v>461110.39</v>
      </c>
      <c r="J24" s="142">
        <v>374294</v>
      </c>
      <c r="K24" s="142">
        <v>374294</v>
      </c>
      <c r="L24" s="135">
        <v>392636</v>
      </c>
      <c r="M24" s="146">
        <v>410378</v>
      </c>
      <c r="N24" s="213">
        <v>432885</v>
      </c>
      <c r="O24" s="134"/>
    </row>
    <row r="25" spans="2:22" x14ac:dyDescent="0.3">
      <c r="B25" s="12">
        <v>41</v>
      </c>
      <c r="C25" s="10">
        <v>121</v>
      </c>
      <c r="D25" s="28" t="s">
        <v>81</v>
      </c>
      <c r="E25" s="5"/>
      <c r="F25" s="80" t="s">
        <v>18</v>
      </c>
      <c r="G25" s="135">
        <v>3069.73</v>
      </c>
      <c r="H25" s="142">
        <v>1300</v>
      </c>
      <c r="I25" s="141">
        <v>6420.68</v>
      </c>
      <c r="J25" s="142">
        <f>'[3]Plnenie príjmov'!$I$19</f>
        <v>6500</v>
      </c>
      <c r="K25" s="142">
        <v>6100</v>
      </c>
      <c r="L25" s="135">
        <v>6100</v>
      </c>
      <c r="M25" s="146">
        <v>6100</v>
      </c>
      <c r="N25" s="220">
        <v>6100</v>
      </c>
    </row>
    <row r="26" spans="2:22" x14ac:dyDescent="0.3">
      <c r="B26" s="12">
        <v>41</v>
      </c>
      <c r="C26" s="10">
        <v>121</v>
      </c>
      <c r="D26" s="28" t="s">
        <v>85</v>
      </c>
      <c r="E26" s="5"/>
      <c r="F26" s="80" t="s">
        <v>19</v>
      </c>
      <c r="G26" s="135">
        <v>1526.59</v>
      </c>
      <c r="H26" s="142">
        <v>6700</v>
      </c>
      <c r="I26" s="141">
        <v>6953.28</v>
      </c>
      <c r="J26" s="142">
        <f>'[3]Plnenie príjmov'!$I$20</f>
        <v>6900</v>
      </c>
      <c r="K26" s="142">
        <v>7100</v>
      </c>
      <c r="L26" s="135">
        <v>7100</v>
      </c>
      <c r="M26" s="146">
        <v>7100</v>
      </c>
      <c r="N26" s="122">
        <v>7100</v>
      </c>
    </row>
    <row r="27" spans="2:22" x14ac:dyDescent="0.3">
      <c r="B27" s="12">
        <v>41</v>
      </c>
      <c r="C27" s="10">
        <v>133</v>
      </c>
      <c r="D27" s="28" t="s">
        <v>81</v>
      </c>
      <c r="E27" s="5"/>
      <c r="F27" s="80" t="s">
        <v>20</v>
      </c>
      <c r="G27" s="135">
        <v>990.99</v>
      </c>
      <c r="H27" s="136">
        <v>800</v>
      </c>
      <c r="I27" s="141">
        <v>1115</v>
      </c>
      <c r="J27" s="136">
        <f>'[3]Plnenie príjmov'!$I$21</f>
        <v>1200</v>
      </c>
      <c r="K27" s="136">
        <v>1150</v>
      </c>
      <c r="L27" s="144">
        <v>1200</v>
      </c>
      <c r="M27" s="145">
        <v>1200</v>
      </c>
      <c r="N27" s="122">
        <v>1200</v>
      </c>
    </row>
    <row r="28" spans="2:22" x14ac:dyDescent="0.3">
      <c r="B28" s="12">
        <v>41</v>
      </c>
      <c r="C28" s="10">
        <v>133</v>
      </c>
      <c r="D28" s="28" t="s">
        <v>86</v>
      </c>
      <c r="E28" s="5"/>
      <c r="F28" s="80" t="s">
        <v>126</v>
      </c>
      <c r="G28" s="135">
        <v>20799</v>
      </c>
      <c r="H28" s="136">
        <v>27000</v>
      </c>
      <c r="I28" s="141">
        <v>29372.080000000002</v>
      </c>
      <c r="J28" s="138">
        <v>39300</v>
      </c>
      <c r="K28" s="138">
        <v>34000</v>
      </c>
      <c r="L28" s="144">
        <v>35000</v>
      </c>
      <c r="M28" s="145">
        <v>35000</v>
      </c>
      <c r="N28" s="122">
        <v>35000</v>
      </c>
    </row>
    <row r="29" spans="2:22" x14ac:dyDescent="0.3">
      <c r="B29" s="12" t="s">
        <v>145</v>
      </c>
      <c r="C29" s="10" t="s">
        <v>137</v>
      </c>
      <c r="D29" s="28" t="s">
        <v>85</v>
      </c>
      <c r="E29" s="5"/>
      <c r="F29" s="80" t="s">
        <v>159</v>
      </c>
      <c r="G29" s="135">
        <v>3720</v>
      </c>
      <c r="H29" s="136">
        <v>0</v>
      </c>
      <c r="I29" s="137">
        <v>0</v>
      </c>
      <c r="J29" s="136">
        <v>0</v>
      </c>
      <c r="K29" s="136">
        <v>100</v>
      </c>
      <c r="L29" s="144">
        <v>100</v>
      </c>
      <c r="M29" s="145">
        <v>100</v>
      </c>
      <c r="N29" s="122">
        <v>100</v>
      </c>
    </row>
    <row r="30" spans="2:22" x14ac:dyDescent="0.3">
      <c r="B30" s="12">
        <v>41</v>
      </c>
      <c r="C30" s="10">
        <v>212</v>
      </c>
      <c r="D30" s="28" t="s">
        <v>84</v>
      </c>
      <c r="E30" s="5"/>
      <c r="F30" s="81" t="s">
        <v>136</v>
      </c>
      <c r="G30" s="135">
        <v>227162.62</v>
      </c>
      <c r="H30" s="142">
        <v>225000</v>
      </c>
      <c r="I30" s="135">
        <v>236636.27</v>
      </c>
      <c r="J30" s="142">
        <f>'[3]Plnenie príjmov'!$I$25</f>
        <v>233000</v>
      </c>
      <c r="K30" s="142">
        <v>233000</v>
      </c>
      <c r="L30" s="135">
        <v>258524</v>
      </c>
      <c r="M30" s="146">
        <v>258524</v>
      </c>
      <c r="N30" s="220">
        <v>258524</v>
      </c>
      <c r="V30" s="96"/>
    </row>
    <row r="31" spans="2:22" x14ac:dyDescent="0.3">
      <c r="B31" s="12">
        <v>41</v>
      </c>
      <c r="C31" s="58" t="s">
        <v>137</v>
      </c>
      <c r="D31" s="76" t="s">
        <v>84</v>
      </c>
      <c r="E31" s="5"/>
      <c r="F31" s="81" t="s">
        <v>138</v>
      </c>
      <c r="G31" s="135">
        <v>0</v>
      </c>
      <c r="H31" s="142">
        <v>10000</v>
      </c>
      <c r="I31" s="141">
        <v>22736.880000000001</v>
      </c>
      <c r="J31" s="142">
        <f>'[3]Plnenie príjmov'!$I$26</f>
        <v>25000</v>
      </c>
      <c r="K31" s="142">
        <v>31500</v>
      </c>
      <c r="L31" s="135">
        <v>32000</v>
      </c>
      <c r="M31" s="146">
        <v>32000</v>
      </c>
      <c r="N31" s="122">
        <v>32000</v>
      </c>
    </row>
    <row r="32" spans="2:22" x14ac:dyDescent="0.3">
      <c r="B32" s="12">
        <v>41</v>
      </c>
      <c r="C32" s="10" t="s">
        <v>224</v>
      </c>
      <c r="D32" s="28" t="s">
        <v>82</v>
      </c>
      <c r="E32" s="5"/>
      <c r="F32" s="80" t="s">
        <v>129</v>
      </c>
      <c r="G32" s="135">
        <v>0</v>
      </c>
      <c r="H32" s="136">
        <v>3800</v>
      </c>
      <c r="I32" s="141">
        <v>600</v>
      </c>
      <c r="J32" s="136">
        <v>4000</v>
      </c>
      <c r="K32" s="136">
        <v>4500</v>
      </c>
      <c r="L32" s="144">
        <v>4500</v>
      </c>
      <c r="M32" s="145">
        <v>4500</v>
      </c>
      <c r="N32" s="122">
        <v>4500</v>
      </c>
    </row>
    <row r="33" spans="2:15" x14ac:dyDescent="0.3">
      <c r="B33" s="12">
        <v>41</v>
      </c>
      <c r="C33" s="10">
        <v>221</v>
      </c>
      <c r="D33" s="28" t="s">
        <v>85</v>
      </c>
      <c r="E33" s="5"/>
      <c r="F33" s="80" t="s">
        <v>21</v>
      </c>
      <c r="G33" s="135">
        <v>1751.8</v>
      </c>
      <c r="H33" s="136">
        <v>2000</v>
      </c>
      <c r="I33" s="137">
        <v>1409.9</v>
      </c>
      <c r="J33" s="136">
        <v>2000</v>
      </c>
      <c r="K33" s="136">
        <v>1800</v>
      </c>
      <c r="L33" s="144">
        <v>2000</v>
      </c>
      <c r="M33" s="145">
        <v>2000</v>
      </c>
      <c r="N33" s="122">
        <v>2000</v>
      </c>
    </row>
    <row r="34" spans="2:15" s="63" customFormat="1" x14ac:dyDescent="0.3">
      <c r="B34" s="12" t="s">
        <v>145</v>
      </c>
      <c r="C34" s="10" t="s">
        <v>181</v>
      </c>
      <c r="D34" s="28" t="s">
        <v>125</v>
      </c>
      <c r="E34" s="5"/>
      <c r="F34" s="80" t="s">
        <v>182</v>
      </c>
      <c r="G34" s="135"/>
      <c r="H34" s="136"/>
      <c r="I34" s="137">
        <v>854</v>
      </c>
      <c r="J34" s="136">
        <v>500</v>
      </c>
      <c r="K34" s="136">
        <v>0</v>
      </c>
      <c r="L34" s="144">
        <v>0</v>
      </c>
      <c r="M34" s="145">
        <v>0</v>
      </c>
      <c r="N34" s="122">
        <v>0</v>
      </c>
    </row>
    <row r="35" spans="2:15" x14ac:dyDescent="0.3">
      <c r="B35" s="12">
        <v>41</v>
      </c>
      <c r="C35" s="10">
        <v>223</v>
      </c>
      <c r="D35" s="28" t="s">
        <v>81</v>
      </c>
      <c r="E35" s="5"/>
      <c r="F35" s="80" t="s">
        <v>240</v>
      </c>
      <c r="G35" s="135">
        <v>655</v>
      </c>
      <c r="H35" s="147">
        <v>0</v>
      </c>
      <c r="I35" s="141">
        <v>565.91999999999996</v>
      </c>
      <c r="J35" s="136">
        <v>300</v>
      </c>
      <c r="K35" s="136">
        <v>350</v>
      </c>
      <c r="L35" s="144">
        <v>350</v>
      </c>
      <c r="M35" s="145">
        <v>350</v>
      </c>
      <c r="N35" s="122">
        <v>350</v>
      </c>
    </row>
    <row r="36" spans="2:15" x14ac:dyDescent="0.3">
      <c r="B36" s="12">
        <v>41</v>
      </c>
      <c r="C36" s="10" t="s">
        <v>168</v>
      </c>
      <c r="D36" s="28" t="s">
        <v>135</v>
      </c>
      <c r="E36" s="5"/>
      <c r="F36" s="80" t="s">
        <v>164</v>
      </c>
      <c r="G36" s="135">
        <v>0</v>
      </c>
      <c r="H36" s="147">
        <v>0</v>
      </c>
      <c r="I36" s="141">
        <v>131.61000000000001</v>
      </c>
      <c r="J36" s="136">
        <f>'[3]Plnenie príjmov'!$I$32</f>
        <v>4200</v>
      </c>
      <c r="K36" s="136">
        <v>4420</v>
      </c>
      <c r="L36" s="144">
        <v>2500</v>
      </c>
      <c r="M36" s="145">
        <v>2500</v>
      </c>
      <c r="N36" s="211">
        <v>2500</v>
      </c>
      <c r="O36" s="134"/>
    </row>
    <row r="37" spans="2:15" x14ac:dyDescent="0.3">
      <c r="B37" s="12">
        <v>41</v>
      </c>
      <c r="C37" s="10">
        <v>292</v>
      </c>
      <c r="D37" s="28" t="s">
        <v>87</v>
      </c>
      <c r="E37" s="5"/>
      <c r="F37" s="80" t="s">
        <v>22</v>
      </c>
      <c r="G37" s="135">
        <v>0</v>
      </c>
      <c r="H37" s="147">
        <v>0</v>
      </c>
      <c r="I37" s="141">
        <v>0</v>
      </c>
      <c r="J37" s="136">
        <v>0</v>
      </c>
      <c r="K37" s="136">
        <v>0</v>
      </c>
      <c r="L37" s="144">
        <v>0</v>
      </c>
      <c r="M37" s="145">
        <v>0</v>
      </c>
      <c r="N37" s="122">
        <v>0</v>
      </c>
    </row>
    <row r="38" spans="2:15" x14ac:dyDescent="0.3">
      <c r="B38" s="12" t="s">
        <v>145</v>
      </c>
      <c r="C38" s="10">
        <v>292</v>
      </c>
      <c r="D38" s="28" t="s">
        <v>82</v>
      </c>
      <c r="E38" s="5"/>
      <c r="F38" s="80" t="s">
        <v>23</v>
      </c>
      <c r="G38" s="135"/>
      <c r="H38" s="136">
        <v>10293</v>
      </c>
      <c r="I38" s="141">
        <v>12594.16</v>
      </c>
      <c r="J38" s="136">
        <v>200</v>
      </c>
      <c r="K38" s="136">
        <v>4671</v>
      </c>
      <c r="L38" s="144">
        <v>200</v>
      </c>
      <c r="M38" s="145">
        <v>200</v>
      </c>
      <c r="N38" s="122">
        <v>200</v>
      </c>
    </row>
    <row r="39" spans="2:15" x14ac:dyDescent="0.3">
      <c r="B39" s="12" t="s">
        <v>145</v>
      </c>
      <c r="C39" s="10" t="s">
        <v>140</v>
      </c>
      <c r="D39" s="28" t="s">
        <v>153</v>
      </c>
      <c r="E39" s="5"/>
      <c r="F39" s="80" t="s">
        <v>160</v>
      </c>
      <c r="G39" s="135">
        <v>1826.11</v>
      </c>
      <c r="H39" s="148">
        <v>0</v>
      </c>
      <c r="I39" s="141">
        <v>162</v>
      </c>
      <c r="J39" s="142">
        <v>0</v>
      </c>
      <c r="K39" s="142">
        <v>0</v>
      </c>
      <c r="L39" s="144">
        <v>0</v>
      </c>
      <c r="M39" s="145">
        <v>0</v>
      </c>
      <c r="N39" s="122">
        <v>0</v>
      </c>
    </row>
    <row r="40" spans="2:15" x14ac:dyDescent="0.3">
      <c r="B40" s="12" t="s">
        <v>186</v>
      </c>
      <c r="C40" s="10" t="s">
        <v>140</v>
      </c>
      <c r="D40" s="28" t="s">
        <v>141</v>
      </c>
      <c r="E40" s="5"/>
      <c r="F40" s="82" t="s">
        <v>142</v>
      </c>
      <c r="G40" s="149"/>
      <c r="H40" s="150">
        <v>34625</v>
      </c>
      <c r="I40" s="141">
        <v>0</v>
      </c>
      <c r="J40" s="151">
        <v>0</v>
      </c>
      <c r="K40" s="151">
        <v>0</v>
      </c>
      <c r="L40" s="144">
        <v>0</v>
      </c>
      <c r="M40" s="145">
        <v>0</v>
      </c>
      <c r="N40" s="122">
        <v>0</v>
      </c>
    </row>
    <row r="41" spans="2:15" s="63" customFormat="1" x14ac:dyDescent="0.3">
      <c r="B41" s="12" t="s">
        <v>145</v>
      </c>
      <c r="C41" s="10" t="s">
        <v>140</v>
      </c>
      <c r="D41" s="28" t="s">
        <v>183</v>
      </c>
      <c r="E41" s="5"/>
      <c r="F41" s="82" t="s">
        <v>184</v>
      </c>
      <c r="G41" s="149"/>
      <c r="H41" s="150">
        <v>0</v>
      </c>
      <c r="I41" s="141">
        <v>215.23</v>
      </c>
      <c r="J41" s="151">
        <v>0</v>
      </c>
      <c r="K41" s="151">
        <v>0</v>
      </c>
      <c r="L41" s="144">
        <v>0</v>
      </c>
      <c r="M41" s="145">
        <v>0</v>
      </c>
      <c r="N41" s="122">
        <v>0</v>
      </c>
    </row>
    <row r="42" spans="2:15" x14ac:dyDescent="0.3">
      <c r="B42" s="12" t="s">
        <v>145</v>
      </c>
      <c r="C42" s="10" t="s">
        <v>140</v>
      </c>
      <c r="D42" s="28" t="s">
        <v>141</v>
      </c>
      <c r="E42" s="5"/>
      <c r="F42" s="82" t="s">
        <v>165</v>
      </c>
      <c r="G42" s="149"/>
      <c r="H42" s="150">
        <v>0</v>
      </c>
      <c r="I42" s="141">
        <v>224.93</v>
      </c>
      <c r="J42" s="151">
        <f>'[3]Plnenie príjmov'!$I$35</f>
        <v>100</v>
      </c>
      <c r="K42" s="151">
        <v>425</v>
      </c>
      <c r="L42" s="144">
        <v>100</v>
      </c>
      <c r="M42" s="145">
        <v>100</v>
      </c>
      <c r="N42" s="122">
        <v>100</v>
      </c>
    </row>
    <row r="43" spans="2:15" s="63" customFormat="1" x14ac:dyDescent="0.3">
      <c r="B43" s="12" t="s">
        <v>195</v>
      </c>
      <c r="C43" s="10" t="s">
        <v>151</v>
      </c>
      <c r="D43" s="28" t="s">
        <v>85</v>
      </c>
      <c r="E43" s="5"/>
      <c r="F43" s="83" t="s">
        <v>202</v>
      </c>
      <c r="G43" s="149"/>
      <c r="H43" s="150"/>
      <c r="I43" s="141">
        <v>851.47</v>
      </c>
      <c r="J43" s="151">
        <v>850</v>
      </c>
      <c r="K43" s="151">
        <v>840</v>
      </c>
      <c r="L43" s="144">
        <v>850</v>
      </c>
      <c r="M43" s="145">
        <v>850</v>
      </c>
      <c r="N43" s="122">
        <v>850</v>
      </c>
    </row>
    <row r="44" spans="2:15" ht="15" thickBot="1" x14ac:dyDescent="0.35">
      <c r="B44" s="74" t="s">
        <v>166</v>
      </c>
      <c r="C44" s="75" t="s">
        <v>167</v>
      </c>
      <c r="D44" s="29" t="s">
        <v>135</v>
      </c>
      <c r="E44" s="16"/>
      <c r="F44" s="84" t="s">
        <v>203</v>
      </c>
      <c r="G44" s="152"/>
      <c r="H44" s="153">
        <v>0</v>
      </c>
      <c r="I44" s="154">
        <v>3000</v>
      </c>
      <c r="J44" s="155">
        <v>3000</v>
      </c>
      <c r="K44" s="155">
        <v>3000</v>
      </c>
      <c r="L44" s="156">
        <v>3000</v>
      </c>
      <c r="M44" s="157">
        <v>3000</v>
      </c>
      <c r="N44" s="122">
        <v>3000</v>
      </c>
    </row>
    <row r="45" spans="2:15" ht="15" thickBot="1" x14ac:dyDescent="0.35">
      <c r="B45" s="69"/>
      <c r="C45" s="70"/>
      <c r="D45" s="71"/>
      <c r="E45" s="72" t="s">
        <v>24</v>
      </c>
      <c r="F45" s="73"/>
      <c r="G45" s="158">
        <f>SUM(G4:G41)</f>
        <v>1022115.21</v>
      </c>
      <c r="H45" s="159">
        <f t="shared" ref="H45:N45" si="0">SUM(H5:H44)</f>
        <v>1062201</v>
      </c>
      <c r="I45" s="159">
        <f t="shared" si="0"/>
        <v>1068988.5099999998</v>
      </c>
      <c r="J45" s="159">
        <f t="shared" si="0"/>
        <v>1076695</v>
      </c>
      <c r="K45" s="159">
        <f t="shared" si="0"/>
        <v>1080753.8</v>
      </c>
      <c r="L45" s="159">
        <f t="shared" si="0"/>
        <v>1146349</v>
      </c>
      <c r="M45" s="160">
        <f t="shared" si="0"/>
        <v>1194137</v>
      </c>
      <c r="N45" s="161">
        <f t="shared" si="0"/>
        <v>1253787</v>
      </c>
    </row>
    <row r="46" spans="2:15" x14ac:dyDescent="0.3">
      <c r="B46" s="22"/>
      <c r="C46" s="23"/>
      <c r="D46" s="30"/>
      <c r="E46" s="36"/>
      <c r="F46" s="9"/>
      <c r="G46" s="162"/>
      <c r="H46" s="163"/>
      <c r="I46" s="163"/>
      <c r="J46" s="164"/>
      <c r="K46" s="164"/>
      <c r="L46" s="165"/>
      <c r="M46" s="166"/>
      <c r="N46" s="167"/>
    </row>
    <row r="47" spans="2:15" ht="15" thickBot="1" x14ac:dyDescent="0.35">
      <c r="B47" s="24"/>
      <c r="C47" s="19"/>
      <c r="D47" s="29"/>
      <c r="E47" s="95"/>
      <c r="F47" s="94"/>
      <c r="G47" s="168"/>
      <c r="H47" s="169"/>
      <c r="I47" s="169"/>
      <c r="J47" s="170"/>
      <c r="K47" s="170"/>
      <c r="L47" s="171"/>
      <c r="M47" s="172"/>
      <c r="N47" s="173"/>
    </row>
    <row r="48" spans="2:15" x14ac:dyDescent="0.3">
      <c r="B48" s="43"/>
      <c r="C48" s="22"/>
      <c r="D48" s="30"/>
      <c r="E48" s="36" t="s">
        <v>26</v>
      </c>
      <c r="F48" s="9"/>
      <c r="G48" s="174"/>
      <c r="H48" s="113"/>
      <c r="I48" s="113"/>
      <c r="J48" s="175"/>
      <c r="K48" s="175"/>
      <c r="L48" s="176"/>
      <c r="M48" s="177"/>
      <c r="N48" s="178"/>
    </row>
    <row r="49" spans="2:14" x14ac:dyDescent="0.3">
      <c r="B49" s="44" t="s">
        <v>90</v>
      </c>
      <c r="C49" s="12" t="s">
        <v>91</v>
      </c>
      <c r="D49" s="28" t="s">
        <v>81</v>
      </c>
      <c r="E49" s="5"/>
      <c r="F49" s="37" t="s">
        <v>65</v>
      </c>
      <c r="G49" s="179">
        <v>0</v>
      </c>
      <c r="H49" s="118">
        <v>0</v>
      </c>
      <c r="I49" s="118">
        <v>0</v>
      </c>
      <c r="J49" s="180">
        <v>0</v>
      </c>
      <c r="K49" s="180">
        <v>187</v>
      </c>
      <c r="L49" s="181">
        <v>0</v>
      </c>
      <c r="M49" s="182">
        <v>0</v>
      </c>
      <c r="N49" s="122">
        <v>0</v>
      </c>
    </row>
    <row r="50" spans="2:14" x14ac:dyDescent="0.3">
      <c r="B50" s="44" t="s">
        <v>93</v>
      </c>
      <c r="C50" s="12" t="s">
        <v>92</v>
      </c>
      <c r="D50" s="28" t="s">
        <v>81</v>
      </c>
      <c r="E50" s="5"/>
      <c r="F50" s="37" t="s">
        <v>67</v>
      </c>
      <c r="G50" s="179">
        <v>0</v>
      </c>
      <c r="H50" s="118">
        <v>0</v>
      </c>
      <c r="I50" s="118">
        <v>0</v>
      </c>
      <c r="J50" s="180">
        <v>0</v>
      </c>
      <c r="K50" s="180">
        <v>0</v>
      </c>
      <c r="L50" s="181">
        <v>0</v>
      </c>
      <c r="M50" s="182">
        <v>0</v>
      </c>
      <c r="N50" s="122">
        <v>0</v>
      </c>
    </row>
    <row r="51" spans="2:14" x14ac:dyDescent="0.3">
      <c r="B51" s="57" t="s">
        <v>134</v>
      </c>
      <c r="C51" s="58" t="s">
        <v>92</v>
      </c>
      <c r="D51" s="76" t="s">
        <v>135</v>
      </c>
      <c r="E51" s="5"/>
      <c r="F51" s="80" t="s">
        <v>245</v>
      </c>
      <c r="G51" s="135">
        <v>0</v>
      </c>
      <c r="H51" s="136">
        <v>0</v>
      </c>
      <c r="I51" s="137">
        <v>0</v>
      </c>
      <c r="J51" s="136">
        <v>0</v>
      </c>
      <c r="K51" s="136">
        <v>0</v>
      </c>
      <c r="L51" s="144">
        <v>92000</v>
      </c>
      <c r="M51" s="145">
        <v>0</v>
      </c>
      <c r="N51" s="122">
        <v>0</v>
      </c>
    </row>
    <row r="52" spans="2:14" x14ac:dyDescent="0.3">
      <c r="B52" s="44" t="s">
        <v>176</v>
      </c>
      <c r="C52" s="12" t="s">
        <v>92</v>
      </c>
      <c r="D52" s="28" t="s">
        <v>81</v>
      </c>
      <c r="E52" s="5"/>
      <c r="F52" s="37" t="s">
        <v>66</v>
      </c>
      <c r="G52" s="183">
        <v>9391</v>
      </c>
      <c r="H52" s="118">
        <v>0</v>
      </c>
      <c r="I52" s="184">
        <v>10500</v>
      </c>
      <c r="J52" s="180">
        <v>0</v>
      </c>
      <c r="K52" s="180">
        <v>23500</v>
      </c>
      <c r="L52" s="210">
        <v>83479</v>
      </c>
      <c r="M52" s="182">
        <v>0</v>
      </c>
      <c r="N52" s="122">
        <v>0</v>
      </c>
    </row>
    <row r="53" spans="2:14" x14ac:dyDescent="0.3">
      <c r="B53" s="44" t="s">
        <v>237</v>
      </c>
      <c r="C53" s="12" t="s">
        <v>92</v>
      </c>
      <c r="D53" s="28" t="s">
        <v>81</v>
      </c>
      <c r="E53" s="5"/>
      <c r="F53" s="6" t="s">
        <v>226</v>
      </c>
      <c r="G53" s="179"/>
      <c r="H53" s="118"/>
      <c r="I53" s="118"/>
      <c r="J53" s="180"/>
      <c r="K53" s="180">
        <v>0</v>
      </c>
      <c r="L53" s="181">
        <v>77717</v>
      </c>
      <c r="M53" s="182">
        <v>0</v>
      </c>
      <c r="N53" s="122">
        <v>0</v>
      </c>
    </row>
    <row r="54" spans="2:14" ht="15" thickBot="1" x14ac:dyDescent="0.35">
      <c r="B54" s="110"/>
      <c r="C54" s="24"/>
      <c r="D54" s="31"/>
      <c r="E54" s="111" t="s">
        <v>24</v>
      </c>
      <c r="F54" s="112"/>
      <c r="G54" s="185">
        <f t="shared" ref="G54:H54" si="1">SUM(G49:G52)</f>
        <v>9391</v>
      </c>
      <c r="H54" s="123">
        <f t="shared" si="1"/>
        <v>0</v>
      </c>
      <c r="I54" s="123">
        <f>SUM(I50:I53)</f>
        <v>10500</v>
      </c>
      <c r="J54" s="123">
        <v>0</v>
      </c>
      <c r="K54" s="123">
        <f>SUM(K49:K53)</f>
        <v>23687</v>
      </c>
      <c r="L54" s="123">
        <f>SUM(L49:L53)</f>
        <v>253196</v>
      </c>
      <c r="M54" s="186">
        <f>SUM(M49:M53)</f>
        <v>0</v>
      </c>
      <c r="N54" s="187">
        <v>0</v>
      </c>
    </row>
    <row r="55" spans="2:14" x14ac:dyDescent="0.3">
      <c r="B55" s="22"/>
      <c r="C55" s="21"/>
      <c r="D55" s="32"/>
      <c r="E55" s="92"/>
      <c r="F55" s="8"/>
      <c r="G55" s="188"/>
      <c r="H55" s="189"/>
      <c r="I55" s="189"/>
      <c r="J55" s="190"/>
      <c r="K55" s="190"/>
      <c r="L55" s="191"/>
      <c r="M55" s="192"/>
      <c r="N55" s="193"/>
    </row>
    <row r="56" spans="2:14" ht="15" thickBot="1" x14ac:dyDescent="0.35">
      <c r="B56" s="18"/>
      <c r="C56" s="19"/>
      <c r="D56" s="29"/>
      <c r="E56" s="95"/>
      <c r="F56" s="94"/>
      <c r="G56" s="194"/>
      <c r="H56" s="195"/>
      <c r="I56" s="195"/>
      <c r="J56" s="196"/>
      <c r="K56" s="196"/>
      <c r="L56" s="197"/>
      <c r="M56" s="198"/>
      <c r="N56" s="173"/>
    </row>
    <row r="57" spans="2:14" x14ac:dyDescent="0.3">
      <c r="B57" s="22"/>
      <c r="C57" s="23"/>
      <c r="D57" s="30"/>
      <c r="E57" s="36" t="s">
        <v>68</v>
      </c>
      <c r="F57" s="9"/>
      <c r="G57" s="174"/>
      <c r="H57" s="113"/>
      <c r="I57" s="113"/>
      <c r="J57" s="175"/>
      <c r="K57" s="175"/>
      <c r="L57" s="176"/>
      <c r="M57" s="177"/>
      <c r="N57" s="178"/>
    </row>
    <row r="58" spans="2:14" x14ac:dyDescent="0.3">
      <c r="B58" s="85" t="s">
        <v>169</v>
      </c>
      <c r="C58" s="10" t="s">
        <v>94</v>
      </c>
      <c r="D58" s="28"/>
      <c r="E58" s="5"/>
      <c r="F58" s="6" t="s">
        <v>69</v>
      </c>
      <c r="G58" s="179">
        <v>0</v>
      </c>
      <c r="H58" s="118">
        <v>0</v>
      </c>
      <c r="I58" s="199">
        <v>34671.03</v>
      </c>
      <c r="J58" s="180">
        <v>0</v>
      </c>
      <c r="K58" s="180">
        <v>0</v>
      </c>
      <c r="L58" s="181">
        <v>0</v>
      </c>
      <c r="M58" s="182">
        <v>0</v>
      </c>
      <c r="N58" s="122">
        <v>0</v>
      </c>
    </row>
    <row r="59" spans="2:14" x14ac:dyDescent="0.3">
      <c r="B59" s="12" t="s">
        <v>231</v>
      </c>
      <c r="C59" s="10" t="s">
        <v>94</v>
      </c>
      <c r="D59" s="28"/>
      <c r="E59" s="5"/>
      <c r="F59" s="6" t="s">
        <v>70</v>
      </c>
      <c r="G59" s="183">
        <v>3432.89</v>
      </c>
      <c r="H59" s="118">
        <v>0</v>
      </c>
      <c r="I59" s="199">
        <v>10547.6</v>
      </c>
      <c r="J59" s="180">
        <v>0</v>
      </c>
      <c r="K59" s="180">
        <v>13612.3</v>
      </c>
      <c r="L59" s="181">
        <v>0</v>
      </c>
      <c r="M59" s="182">
        <v>0</v>
      </c>
      <c r="N59" s="122">
        <v>0</v>
      </c>
    </row>
    <row r="60" spans="2:14" x14ac:dyDescent="0.3">
      <c r="B60" s="12" t="s">
        <v>88</v>
      </c>
      <c r="C60" s="10" t="s">
        <v>89</v>
      </c>
      <c r="D60" s="28" t="s">
        <v>81</v>
      </c>
      <c r="E60" s="5"/>
      <c r="F60" s="37" t="s">
        <v>71</v>
      </c>
      <c r="G60" s="183">
        <v>0</v>
      </c>
      <c r="H60" s="180">
        <v>9687</v>
      </c>
      <c r="I60" s="199">
        <v>27694.73</v>
      </c>
      <c r="J60" s="180">
        <v>25000</v>
      </c>
      <c r="K60" s="180">
        <v>109483</v>
      </c>
      <c r="L60" s="181">
        <v>50000</v>
      </c>
      <c r="M60" s="182">
        <v>0</v>
      </c>
      <c r="N60" s="122">
        <v>0</v>
      </c>
    </row>
    <row r="61" spans="2:14" x14ac:dyDescent="0.3">
      <c r="B61" s="12" t="s">
        <v>88</v>
      </c>
      <c r="C61" s="10" t="s">
        <v>94</v>
      </c>
      <c r="D61" s="28"/>
      <c r="E61" s="5"/>
      <c r="F61" s="6" t="s">
        <v>225</v>
      </c>
      <c r="G61" s="179"/>
      <c r="H61" s="118"/>
      <c r="I61" s="118"/>
      <c r="J61" s="180"/>
      <c r="K61" s="180">
        <v>0</v>
      </c>
      <c r="L61" s="181">
        <v>90000</v>
      </c>
      <c r="M61" s="182"/>
      <c r="N61" s="122"/>
    </row>
    <row r="62" spans="2:14" s="63" customFormat="1" x14ac:dyDescent="0.3">
      <c r="B62" s="18" t="s">
        <v>88</v>
      </c>
      <c r="C62" s="19" t="s">
        <v>94</v>
      </c>
      <c r="D62" s="29"/>
      <c r="E62" s="95"/>
      <c r="F62" s="94" t="s">
        <v>244</v>
      </c>
      <c r="G62" s="194"/>
      <c r="H62" s="195"/>
      <c r="I62" s="195"/>
      <c r="J62" s="196"/>
      <c r="K62" s="196">
        <v>0</v>
      </c>
      <c r="L62" s="197">
        <v>6315</v>
      </c>
      <c r="M62" s="198">
        <v>0</v>
      </c>
      <c r="N62" s="131">
        <v>0</v>
      </c>
    </row>
    <row r="63" spans="2:14" s="63" customFormat="1" x14ac:dyDescent="0.3">
      <c r="B63" s="18" t="s">
        <v>88</v>
      </c>
      <c r="C63" s="19" t="s">
        <v>227</v>
      </c>
      <c r="D63" s="29" t="s">
        <v>85</v>
      </c>
      <c r="E63" s="95"/>
      <c r="F63" s="94" t="s">
        <v>248</v>
      </c>
      <c r="G63" s="194"/>
      <c r="H63" s="195"/>
      <c r="I63" s="195"/>
      <c r="J63" s="196"/>
      <c r="K63" s="196">
        <v>0</v>
      </c>
      <c r="L63" s="197">
        <v>733863</v>
      </c>
      <c r="M63" s="198"/>
      <c r="N63" s="131"/>
    </row>
    <row r="64" spans="2:14" ht="15" thickBot="1" x14ac:dyDescent="0.35">
      <c r="B64" s="24"/>
      <c r="C64" s="25"/>
      <c r="D64" s="31"/>
      <c r="E64" s="111" t="s">
        <v>24</v>
      </c>
      <c r="F64" s="112"/>
      <c r="G64" s="185">
        <f>SUM(G58:G60)</f>
        <v>3432.89</v>
      </c>
      <c r="H64" s="123">
        <f>SUM(H58:H60)</f>
        <v>9687</v>
      </c>
      <c r="I64" s="123">
        <f>SUM(I58:I61)</f>
        <v>72913.36</v>
      </c>
      <c r="J64" s="123">
        <f>SUM(J58:J61)</f>
        <v>25000</v>
      </c>
      <c r="K64" s="123">
        <f>SUM(K58:K63)</f>
        <v>123095.3</v>
      </c>
      <c r="L64" s="123">
        <f>SUM(L58:L63)</f>
        <v>880178</v>
      </c>
      <c r="M64" s="186">
        <f>SUM(M58:M63)</f>
        <v>0</v>
      </c>
      <c r="N64" s="187">
        <f>SUM(N58:N63)</f>
        <v>0</v>
      </c>
    </row>
    <row r="65" spans="2:14" x14ac:dyDescent="0.3">
      <c r="B65" s="20"/>
      <c r="C65" s="21"/>
      <c r="D65" s="32"/>
      <c r="E65" s="92"/>
      <c r="F65" s="8"/>
      <c r="G65" s="188"/>
      <c r="H65" s="189"/>
      <c r="I65" s="189"/>
      <c r="J65" s="190"/>
      <c r="K65" s="190"/>
      <c r="L65" s="191"/>
      <c r="M65" s="192"/>
      <c r="N65" s="193"/>
    </row>
    <row r="66" spans="2:14" ht="15" thickBot="1" x14ac:dyDescent="0.35">
      <c r="B66" s="18"/>
      <c r="C66" s="19"/>
      <c r="D66" s="29"/>
      <c r="E66" s="95"/>
      <c r="F66" s="94"/>
      <c r="G66" s="194"/>
      <c r="H66" s="195"/>
      <c r="I66" s="195"/>
      <c r="J66" s="196"/>
      <c r="K66" s="196"/>
      <c r="L66" s="197"/>
      <c r="M66" s="198"/>
      <c r="N66" s="173"/>
    </row>
    <row r="67" spans="2:14" x14ac:dyDescent="0.3">
      <c r="B67" s="22"/>
      <c r="C67" s="23"/>
      <c r="D67" s="30"/>
      <c r="E67" s="36" t="s">
        <v>28</v>
      </c>
      <c r="F67" s="9"/>
      <c r="G67" s="174"/>
      <c r="H67" s="113"/>
      <c r="I67" s="113"/>
      <c r="J67" s="175"/>
      <c r="K67" s="175"/>
      <c r="L67" s="176"/>
      <c r="M67" s="177"/>
      <c r="N67" s="178"/>
    </row>
    <row r="68" spans="2:14" x14ac:dyDescent="0.3">
      <c r="B68" s="12"/>
      <c r="C68" s="10"/>
      <c r="D68" s="28"/>
      <c r="E68" s="5"/>
      <c r="F68" s="6" t="s">
        <v>146</v>
      </c>
      <c r="G68" s="183">
        <f>420.5+1248.78+7.56+6388.75+1172.47+6170+394.28</f>
        <v>15802.34</v>
      </c>
      <c r="H68" s="180">
        <v>6350</v>
      </c>
      <c r="I68" s="180">
        <v>15466.05</v>
      </c>
      <c r="J68" s="180">
        <f>4000+3500</f>
        <v>7500</v>
      </c>
      <c r="K68" s="180">
        <v>7000</v>
      </c>
      <c r="L68" s="181">
        <v>7500</v>
      </c>
      <c r="M68" s="182">
        <v>7500</v>
      </c>
      <c r="N68" s="122">
        <v>7500</v>
      </c>
    </row>
    <row r="69" spans="2:14" x14ac:dyDescent="0.3">
      <c r="B69" s="12"/>
      <c r="C69" s="10"/>
      <c r="D69" s="28"/>
      <c r="E69" s="5"/>
      <c r="F69" s="6" t="s">
        <v>29</v>
      </c>
      <c r="G69" s="183">
        <v>13878.52</v>
      </c>
      <c r="H69" s="180">
        <v>13000</v>
      </c>
      <c r="I69" s="180">
        <v>9936.57</v>
      </c>
      <c r="J69" s="180">
        <v>13000</v>
      </c>
      <c r="K69" s="180">
        <v>10000</v>
      </c>
      <c r="L69" s="181">
        <v>13000</v>
      </c>
      <c r="M69" s="182">
        <v>13000</v>
      </c>
      <c r="N69" s="122">
        <v>13000</v>
      </c>
    </row>
    <row r="70" spans="2:14" x14ac:dyDescent="0.3">
      <c r="B70" s="13"/>
      <c r="C70" s="11"/>
      <c r="D70" s="33"/>
      <c r="E70" s="5"/>
      <c r="F70" s="6" t="s">
        <v>147</v>
      </c>
      <c r="G70" s="179"/>
      <c r="H70" s="180">
        <v>5000</v>
      </c>
      <c r="I70" s="180"/>
      <c r="J70" s="180">
        <v>5000</v>
      </c>
      <c r="K70" s="180">
        <v>5000</v>
      </c>
      <c r="L70" s="181">
        <v>5500</v>
      </c>
      <c r="M70" s="182">
        <v>5500</v>
      </c>
      <c r="N70" s="122">
        <v>5500</v>
      </c>
    </row>
    <row r="71" spans="2:14" x14ac:dyDescent="0.3">
      <c r="B71" s="13"/>
      <c r="C71" s="11"/>
      <c r="D71" s="33"/>
      <c r="E71" s="5"/>
      <c r="F71" s="6" t="s">
        <v>232</v>
      </c>
      <c r="G71" s="179"/>
      <c r="H71" s="180">
        <f>18500+14236</f>
        <v>32736</v>
      </c>
      <c r="I71" s="180">
        <v>32883.56</v>
      </c>
      <c r="J71" s="180">
        <v>0</v>
      </c>
      <c r="K71" s="180">
        <v>1510.59</v>
      </c>
      <c r="L71" s="181">
        <v>0</v>
      </c>
      <c r="M71" s="182">
        <v>0</v>
      </c>
      <c r="N71" s="122">
        <v>0</v>
      </c>
    </row>
    <row r="72" spans="2:14" x14ac:dyDescent="0.3">
      <c r="B72" s="26"/>
      <c r="C72" s="27"/>
      <c r="D72" s="34"/>
      <c r="E72" s="41" t="s">
        <v>24</v>
      </c>
      <c r="F72" s="42"/>
      <c r="G72" s="200">
        <f t="shared" ref="G72" si="2">SUM(G68:G70)</f>
        <v>29680.86</v>
      </c>
      <c r="H72" s="201">
        <f>H68+H69+H70+H71</f>
        <v>57086</v>
      </c>
      <c r="I72" s="201">
        <v>58286.18</v>
      </c>
      <c r="J72" s="201">
        <f>SUM(J68:J71)</f>
        <v>25500</v>
      </c>
      <c r="K72" s="201">
        <f>SUM(K68:K71)</f>
        <v>23510.59</v>
      </c>
      <c r="L72" s="201">
        <f>SUM(L68:L71)</f>
        <v>26000</v>
      </c>
      <c r="M72" s="201">
        <f t="shared" ref="M72:N72" si="3">SUM(M68:M71)</f>
        <v>26000</v>
      </c>
      <c r="N72" s="215">
        <f t="shared" si="3"/>
        <v>26000</v>
      </c>
    </row>
    <row r="73" spans="2:14" ht="15" thickBot="1" x14ac:dyDescent="0.35">
      <c r="B73" s="14"/>
      <c r="C73" s="15"/>
      <c r="D73" s="35"/>
      <c r="E73" s="16"/>
      <c r="F73" s="17"/>
      <c r="G73" s="202"/>
      <c r="H73" s="203"/>
      <c r="I73" s="203"/>
      <c r="J73" s="204"/>
      <c r="K73" s="204"/>
      <c r="L73" s="205"/>
      <c r="M73" s="206"/>
      <c r="N73" s="167"/>
    </row>
    <row r="74" spans="2:14" ht="15" thickBot="1" x14ac:dyDescent="0.35">
      <c r="B74" s="14"/>
      <c r="C74" s="15"/>
      <c r="D74" s="35"/>
      <c r="E74" s="39" t="s">
        <v>30</v>
      </c>
      <c r="F74" s="40"/>
      <c r="G74" s="207">
        <f>G45+G54+G72</f>
        <v>1061187.07</v>
      </c>
      <c r="H74" s="208">
        <f>H45+H54+H72</f>
        <v>1119287</v>
      </c>
      <c r="I74" s="208">
        <f>I45+I54+I64+I72</f>
        <v>1210688.0499999998</v>
      </c>
      <c r="J74" s="208">
        <f>J72+J64+J54+J45</f>
        <v>1127195</v>
      </c>
      <c r="K74" s="208">
        <f>K45+K54+K64+K72</f>
        <v>1251046.6900000002</v>
      </c>
      <c r="L74" s="208">
        <f>L45+L54+L64+L72</f>
        <v>2305723</v>
      </c>
      <c r="M74" s="208">
        <f t="shared" ref="M74:N74" si="4">M45+M54+M64+M72</f>
        <v>1220137</v>
      </c>
      <c r="N74" s="209">
        <f t="shared" si="4"/>
        <v>1279787</v>
      </c>
    </row>
  </sheetData>
  <mergeCells count="1">
    <mergeCell ref="B2:D2"/>
  </mergeCells>
  <pageMargins left="0.23622047244094491" right="0.23622047244094491" top="0.74803149606299213" bottom="0.35433070866141736" header="0.31496062992125984" footer="0.31496062992125984"/>
  <pageSetup paperSize="9" scale="7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B33BD-BB7A-40E8-8699-4D8CB4728185}">
  <sheetPr>
    <pageSetUpPr fitToPage="1"/>
  </sheetPr>
  <dimension ref="C1:S224"/>
  <sheetViews>
    <sheetView tabSelected="1" topLeftCell="C1" zoomScaleNormal="100" workbookViewId="0">
      <selection activeCell="C2" sqref="C2:N224"/>
    </sheetView>
  </sheetViews>
  <sheetFormatPr defaultRowHeight="14.4" x14ac:dyDescent="0.3"/>
  <cols>
    <col min="3" max="3" width="13.109375" customWidth="1"/>
    <col min="4" max="5" width="8.88671875" customWidth="1"/>
    <col min="6" max="6" width="60.6640625" customWidth="1"/>
    <col min="7" max="7" width="12.6640625" style="62" customWidth="1"/>
    <col min="8" max="8" width="12.6640625" hidden="1" customWidth="1"/>
    <col min="9" max="10" width="12.6640625" customWidth="1"/>
    <col min="11" max="11" width="12.6640625" style="63" customWidth="1"/>
    <col min="12" max="13" width="12.6640625" customWidth="1"/>
    <col min="14" max="14" width="12.109375" customWidth="1"/>
  </cols>
  <sheetData>
    <row r="1" spans="3:14" ht="15" thickBot="1" x14ac:dyDescent="0.35"/>
    <row r="2" spans="3:14" ht="42" thickBot="1" x14ac:dyDescent="0.35">
      <c r="C2" s="221" t="s">
        <v>215</v>
      </c>
      <c r="D2" s="222"/>
      <c r="E2" s="223"/>
      <c r="F2" s="224" t="s">
        <v>31</v>
      </c>
      <c r="G2" s="225" t="s">
        <v>163</v>
      </c>
      <c r="H2" s="226" t="s">
        <v>127</v>
      </c>
      <c r="I2" s="226" t="s">
        <v>241</v>
      </c>
      <c r="J2" s="226" t="s">
        <v>212</v>
      </c>
      <c r="K2" s="226" t="s">
        <v>213</v>
      </c>
      <c r="L2" s="225" t="s">
        <v>214</v>
      </c>
      <c r="M2" s="227" t="s">
        <v>162</v>
      </c>
      <c r="N2" s="227" t="s">
        <v>210</v>
      </c>
    </row>
    <row r="3" spans="3:14" ht="15" thickBot="1" x14ac:dyDescent="0.35">
      <c r="C3" s="228" t="s">
        <v>78</v>
      </c>
      <c r="D3" s="229" t="s">
        <v>95</v>
      </c>
      <c r="E3" s="230"/>
      <c r="F3" s="231"/>
      <c r="G3" s="232"/>
      <c r="H3" s="233"/>
      <c r="I3" s="233"/>
      <c r="J3" s="233"/>
      <c r="K3" s="233"/>
      <c r="L3" s="234"/>
      <c r="M3" s="235"/>
      <c r="N3" s="236"/>
    </row>
    <row r="4" spans="3:14" x14ac:dyDescent="0.3">
      <c r="C4" s="237"/>
      <c r="D4" s="238" t="s">
        <v>25</v>
      </c>
      <c r="E4" s="239"/>
      <c r="F4" s="240"/>
      <c r="G4" s="241"/>
      <c r="H4" s="242"/>
      <c r="I4" s="242"/>
      <c r="J4" s="242"/>
      <c r="K4" s="242"/>
      <c r="L4" s="243"/>
      <c r="M4" s="244"/>
      <c r="N4" s="240"/>
    </row>
    <row r="5" spans="3:14" x14ac:dyDescent="0.3">
      <c r="C5" s="245"/>
      <c r="D5" s="246"/>
      <c r="E5" s="247" t="s">
        <v>32</v>
      </c>
      <c r="F5" s="248"/>
      <c r="G5" s="249"/>
      <c r="H5" s="250"/>
      <c r="I5" s="250"/>
      <c r="J5" s="250"/>
      <c r="K5" s="250"/>
      <c r="L5" s="251"/>
      <c r="M5" s="252"/>
      <c r="N5" s="253"/>
    </row>
    <row r="6" spans="3:14" x14ac:dyDescent="0.3">
      <c r="C6" s="245" t="s">
        <v>97</v>
      </c>
      <c r="D6" s="246"/>
      <c r="E6" s="254"/>
      <c r="F6" s="255" t="s">
        <v>33</v>
      </c>
      <c r="G6" s="249">
        <v>0</v>
      </c>
      <c r="H6" s="250">
        <v>650</v>
      </c>
      <c r="I6" s="250">
        <f>645.65+1040.57</f>
        <v>1686.2199999999998</v>
      </c>
      <c r="J6" s="250">
        <f>[3]výdavky!$K$4</f>
        <v>650</v>
      </c>
      <c r="K6" s="256">
        <v>2796</v>
      </c>
      <c r="L6" s="250">
        <v>650</v>
      </c>
      <c r="M6" s="251">
        <f>[3]výdavky!$L$4</f>
        <v>650</v>
      </c>
      <c r="N6" s="257">
        <v>650</v>
      </c>
    </row>
    <row r="7" spans="3:14" x14ac:dyDescent="0.3">
      <c r="C7" s="245" t="s">
        <v>98</v>
      </c>
      <c r="D7" s="246"/>
      <c r="E7" s="258"/>
      <c r="F7" s="248" t="s">
        <v>34</v>
      </c>
      <c r="G7" s="249">
        <f>30+5+42+1300</f>
        <v>1377</v>
      </c>
      <c r="H7" s="250">
        <v>228</v>
      </c>
      <c r="I7" s="259">
        <v>140.56</v>
      </c>
      <c r="J7" s="256">
        <v>237</v>
      </c>
      <c r="K7" s="256">
        <v>863</v>
      </c>
      <c r="L7" s="256">
        <v>237</v>
      </c>
      <c r="M7" s="260">
        <v>237</v>
      </c>
      <c r="N7" s="261">
        <v>237</v>
      </c>
    </row>
    <row r="8" spans="3:14" x14ac:dyDescent="0.3">
      <c r="C8" s="245" t="s">
        <v>99</v>
      </c>
      <c r="D8" s="246"/>
      <c r="E8" s="258"/>
      <c r="F8" s="248" t="s">
        <v>41</v>
      </c>
      <c r="G8" s="249">
        <v>0</v>
      </c>
      <c r="H8" s="250">
        <v>0</v>
      </c>
      <c r="I8" s="250">
        <v>0</v>
      </c>
      <c r="J8" s="250">
        <v>0</v>
      </c>
      <c r="K8" s="256">
        <v>0</v>
      </c>
      <c r="L8" s="250">
        <v>0</v>
      </c>
      <c r="M8" s="251">
        <v>0</v>
      </c>
      <c r="N8" s="257">
        <v>0</v>
      </c>
    </row>
    <row r="9" spans="3:14" x14ac:dyDescent="0.3">
      <c r="C9" s="245" t="s">
        <v>100</v>
      </c>
      <c r="D9" s="246"/>
      <c r="E9" s="258"/>
      <c r="F9" s="248" t="s">
        <v>42</v>
      </c>
      <c r="G9" s="249">
        <v>12.45</v>
      </c>
      <c r="H9" s="250">
        <v>0</v>
      </c>
      <c r="I9" s="250">
        <v>4974</v>
      </c>
      <c r="J9" s="250">
        <v>0</v>
      </c>
      <c r="K9" s="256">
        <v>0</v>
      </c>
      <c r="L9" s="250">
        <v>0</v>
      </c>
      <c r="M9" s="251">
        <v>0</v>
      </c>
      <c r="N9" s="257">
        <v>0</v>
      </c>
    </row>
    <row r="10" spans="3:14" x14ac:dyDescent="0.3">
      <c r="C10" s="245" t="s">
        <v>101</v>
      </c>
      <c r="D10" s="246"/>
      <c r="E10" s="258"/>
      <c r="F10" s="248" t="s">
        <v>35</v>
      </c>
      <c r="G10" s="249">
        <v>575.76</v>
      </c>
      <c r="H10" s="250">
        <v>1000</v>
      </c>
      <c r="I10" s="250">
        <v>68</v>
      </c>
      <c r="J10" s="250">
        <f>[3]výdavky!$K$13</f>
        <v>500</v>
      </c>
      <c r="K10" s="256">
        <f>180+1360</f>
        <v>1540</v>
      </c>
      <c r="L10" s="250">
        <v>500</v>
      </c>
      <c r="M10" s="251">
        <f>[3]výdavky!$L$13</f>
        <v>500</v>
      </c>
      <c r="N10" s="257">
        <f>[3]výdavky!$M$13</f>
        <v>500</v>
      </c>
    </row>
    <row r="11" spans="3:14" x14ac:dyDescent="0.3">
      <c r="C11" s="245" t="s">
        <v>104</v>
      </c>
      <c r="D11" s="246"/>
      <c r="E11" s="258"/>
      <c r="F11" s="248" t="s">
        <v>36</v>
      </c>
      <c r="G11" s="249">
        <f>337.9+1256.46</f>
        <v>1594.3600000000001</v>
      </c>
      <c r="H11" s="250">
        <v>1500</v>
      </c>
      <c r="I11" s="250">
        <v>4733.12</v>
      </c>
      <c r="J11" s="250">
        <f>[3]výdavky!$K$14</f>
        <v>1500</v>
      </c>
      <c r="K11" s="256">
        <f>1220+2379.3+640</f>
        <v>4239.3</v>
      </c>
      <c r="L11" s="250">
        <v>1500</v>
      </c>
      <c r="M11" s="251">
        <f>[3]výdavky!$L$14</f>
        <v>1500</v>
      </c>
      <c r="N11" s="257">
        <f>[3]výdavky!$M$14</f>
        <v>1500</v>
      </c>
    </row>
    <row r="12" spans="3:14" x14ac:dyDescent="0.3">
      <c r="C12" s="245"/>
      <c r="D12" s="246"/>
      <c r="E12" s="258"/>
      <c r="F12" s="248" t="s">
        <v>37</v>
      </c>
      <c r="G12" s="249">
        <v>2000</v>
      </c>
      <c r="H12" s="250">
        <v>2000</v>
      </c>
      <c r="I12" s="250">
        <v>0</v>
      </c>
      <c r="J12" s="250">
        <v>0</v>
      </c>
      <c r="K12" s="256">
        <v>0</v>
      </c>
      <c r="L12" s="250">
        <v>0</v>
      </c>
      <c r="M12" s="251">
        <v>0</v>
      </c>
      <c r="N12" s="257">
        <v>0</v>
      </c>
    </row>
    <row r="13" spans="3:14" x14ac:dyDescent="0.3">
      <c r="C13" s="245" t="s">
        <v>102</v>
      </c>
      <c r="D13" s="246"/>
      <c r="E13" s="258"/>
      <c r="F13" s="248" t="s">
        <v>38</v>
      </c>
      <c r="G13" s="249">
        <v>61</v>
      </c>
      <c r="H13" s="250">
        <v>0</v>
      </c>
      <c r="I13" s="250">
        <v>0</v>
      </c>
      <c r="J13" s="250">
        <v>0</v>
      </c>
      <c r="K13" s="256">
        <v>0</v>
      </c>
      <c r="L13" s="250">
        <v>0</v>
      </c>
      <c r="M13" s="251">
        <v>0</v>
      </c>
      <c r="N13" s="257">
        <v>0</v>
      </c>
    </row>
    <row r="14" spans="3:14" x14ac:dyDescent="0.3">
      <c r="C14" s="245" t="s">
        <v>103</v>
      </c>
      <c r="D14" s="246"/>
      <c r="E14" s="258"/>
      <c r="F14" s="248" t="s">
        <v>39</v>
      </c>
      <c r="G14" s="249">
        <v>21522.76</v>
      </c>
      <c r="H14" s="250">
        <v>0</v>
      </c>
      <c r="I14" s="250">
        <v>0</v>
      </c>
      <c r="J14" s="250">
        <v>0</v>
      </c>
      <c r="K14" s="256">
        <v>0</v>
      </c>
      <c r="L14" s="250">
        <v>0</v>
      </c>
      <c r="M14" s="251">
        <v>0</v>
      </c>
      <c r="N14" s="257">
        <v>0</v>
      </c>
    </row>
    <row r="15" spans="3:14" ht="27.6" x14ac:dyDescent="0.3">
      <c r="C15" s="245" t="s">
        <v>154</v>
      </c>
      <c r="D15" s="246"/>
      <c r="E15" s="258"/>
      <c r="F15" s="262" t="s">
        <v>76</v>
      </c>
      <c r="G15" s="249">
        <v>1694.15</v>
      </c>
      <c r="H15" s="250">
        <v>0</v>
      </c>
      <c r="I15" s="250">
        <v>1812.03</v>
      </c>
      <c r="J15" s="250">
        <f>[3]výdavky!$K$15</f>
        <v>2000</v>
      </c>
      <c r="K15" s="256">
        <v>1810</v>
      </c>
      <c r="L15" s="250">
        <v>2000</v>
      </c>
      <c r="M15" s="251">
        <f>[3]výdavky!$L$15</f>
        <v>2000</v>
      </c>
      <c r="N15" s="257">
        <v>2000</v>
      </c>
    </row>
    <row r="16" spans="3:14" x14ac:dyDescent="0.3">
      <c r="C16" s="245"/>
      <c r="D16" s="246"/>
      <c r="E16" s="263" t="s">
        <v>24</v>
      </c>
      <c r="F16" s="264"/>
      <c r="G16" s="265">
        <f>SUM(G5:G15)</f>
        <v>28837.48</v>
      </c>
      <c r="H16" s="266">
        <f>SUM(H5:H15)</f>
        <v>5378</v>
      </c>
      <c r="I16" s="266">
        <f t="shared" ref="I16:N16" si="0">SUM(I6:I15)</f>
        <v>13413.93</v>
      </c>
      <c r="J16" s="266">
        <f t="shared" si="0"/>
        <v>4887</v>
      </c>
      <c r="K16" s="266">
        <f t="shared" si="0"/>
        <v>11248.3</v>
      </c>
      <c r="L16" s="266">
        <f t="shared" si="0"/>
        <v>4887</v>
      </c>
      <c r="M16" s="266">
        <f t="shared" si="0"/>
        <v>4887</v>
      </c>
      <c r="N16" s="267">
        <f t="shared" si="0"/>
        <v>4887</v>
      </c>
    </row>
    <row r="17" spans="3:14" x14ac:dyDescent="0.3">
      <c r="C17" s="245"/>
      <c r="D17" s="246"/>
      <c r="E17" s="247"/>
      <c r="F17" s="248"/>
      <c r="G17" s="268"/>
      <c r="H17" s="250"/>
      <c r="I17" s="250"/>
      <c r="J17" s="250"/>
      <c r="K17" s="250"/>
      <c r="L17" s="251"/>
      <c r="M17" s="252"/>
      <c r="N17" s="253"/>
    </row>
    <row r="18" spans="3:14" x14ac:dyDescent="0.3">
      <c r="C18" s="245"/>
      <c r="D18" s="269" t="s">
        <v>96</v>
      </c>
      <c r="E18" s="247" t="s">
        <v>40</v>
      </c>
      <c r="F18" s="248"/>
      <c r="G18" s="268"/>
      <c r="H18" s="250"/>
      <c r="I18" s="250"/>
      <c r="J18" s="250"/>
      <c r="K18" s="250"/>
      <c r="L18" s="251"/>
      <c r="M18" s="252"/>
      <c r="N18" s="253"/>
    </row>
    <row r="19" spans="3:14" x14ac:dyDescent="0.3">
      <c r="C19" s="245" t="s">
        <v>97</v>
      </c>
      <c r="D19" s="246"/>
      <c r="E19" s="258"/>
      <c r="F19" s="255" t="s">
        <v>33</v>
      </c>
      <c r="G19" s="249">
        <f>54471.99+2000+2000</f>
        <v>58471.99</v>
      </c>
      <c r="H19" s="250">
        <v>88800</v>
      </c>
      <c r="I19" s="250">
        <v>77429.759999999995</v>
      </c>
      <c r="J19" s="270">
        <v>96900</v>
      </c>
      <c r="K19" s="251">
        <v>85000</v>
      </c>
      <c r="L19" s="271">
        <v>96900</v>
      </c>
      <c r="M19" s="260">
        <v>96900</v>
      </c>
      <c r="N19" s="261">
        <v>96900</v>
      </c>
    </row>
    <row r="20" spans="3:14" x14ac:dyDescent="0.3">
      <c r="C20" s="245" t="s">
        <v>98</v>
      </c>
      <c r="D20" s="246"/>
      <c r="E20" s="258"/>
      <c r="F20" s="248" t="s">
        <v>34</v>
      </c>
      <c r="G20" s="249">
        <f>5549.24+1123.82+10308.26</f>
        <v>16981.32</v>
      </c>
      <c r="H20" s="256">
        <f>31035+700</f>
        <v>31735</v>
      </c>
      <c r="I20" s="256">
        <v>29182.17</v>
      </c>
      <c r="J20" s="272">
        <v>36461</v>
      </c>
      <c r="K20" s="251">
        <v>32000</v>
      </c>
      <c r="L20" s="272">
        <v>41014</v>
      </c>
      <c r="M20" s="260">
        <v>41014</v>
      </c>
      <c r="N20" s="261">
        <v>41014</v>
      </c>
    </row>
    <row r="21" spans="3:14" x14ac:dyDescent="0.3">
      <c r="C21" s="245" t="s">
        <v>99</v>
      </c>
      <c r="D21" s="246"/>
      <c r="E21" s="258"/>
      <c r="F21" s="248" t="s">
        <v>41</v>
      </c>
      <c r="G21" s="249">
        <v>0</v>
      </c>
      <c r="H21" s="256">
        <v>1000</v>
      </c>
      <c r="I21" s="256">
        <v>0</v>
      </c>
      <c r="J21" s="270">
        <f>[3]výdavky!$K$32</f>
        <v>1000</v>
      </c>
      <c r="K21" s="251">
        <v>0</v>
      </c>
      <c r="L21" s="271">
        <v>1000</v>
      </c>
      <c r="M21" s="260">
        <v>1000</v>
      </c>
      <c r="N21" s="261">
        <v>1000</v>
      </c>
    </row>
    <row r="22" spans="3:14" x14ac:dyDescent="0.3">
      <c r="C22" s="245" t="s">
        <v>100</v>
      </c>
      <c r="D22" s="246"/>
      <c r="E22" s="258"/>
      <c r="F22" s="248" t="s">
        <v>42</v>
      </c>
      <c r="G22" s="249">
        <v>19368.22</v>
      </c>
      <c r="H22" s="256">
        <v>10000</v>
      </c>
      <c r="I22" s="256">
        <v>4841.79</v>
      </c>
      <c r="J22" s="270">
        <v>10000</v>
      </c>
      <c r="K22" s="251">
        <v>8500</v>
      </c>
      <c r="L22" s="271">
        <v>12000</v>
      </c>
      <c r="M22" s="260">
        <v>12000</v>
      </c>
      <c r="N22" s="261">
        <v>12000</v>
      </c>
    </row>
    <row r="23" spans="3:14" x14ac:dyDescent="0.3">
      <c r="C23" s="245" t="s">
        <v>101</v>
      </c>
      <c r="D23" s="246"/>
      <c r="E23" s="258"/>
      <c r="F23" s="248" t="s">
        <v>35</v>
      </c>
      <c r="G23" s="249">
        <v>14462.27</v>
      </c>
      <c r="H23" s="256">
        <v>9900</v>
      </c>
      <c r="I23" s="256">
        <v>9319.32</v>
      </c>
      <c r="J23" s="270">
        <f>[3]výdavky!$K$44</f>
        <v>11100</v>
      </c>
      <c r="K23" s="251">
        <v>9500</v>
      </c>
      <c r="L23" s="271">
        <v>16000</v>
      </c>
      <c r="M23" s="260">
        <v>16000</v>
      </c>
      <c r="N23" s="261">
        <v>16000</v>
      </c>
    </row>
    <row r="24" spans="3:14" x14ac:dyDescent="0.3">
      <c r="C24" s="245" t="s">
        <v>104</v>
      </c>
      <c r="D24" s="246"/>
      <c r="E24" s="258"/>
      <c r="F24" s="248" t="s">
        <v>36</v>
      </c>
      <c r="G24" s="249">
        <f>1500+29.96+10081.6+5+1556.32+811.67+176.74+2366.88+62.52</f>
        <v>16590.690000000002</v>
      </c>
      <c r="H24" s="256">
        <v>16350</v>
      </c>
      <c r="I24" s="256">
        <v>15015.34</v>
      </c>
      <c r="J24" s="270">
        <f>[3]výdavky!$K$69</f>
        <v>19450</v>
      </c>
      <c r="K24" s="251">
        <v>18500</v>
      </c>
      <c r="L24" s="271">
        <v>22400</v>
      </c>
      <c r="M24" s="260">
        <v>22400</v>
      </c>
      <c r="N24" s="261">
        <v>22400</v>
      </c>
    </row>
    <row r="25" spans="3:14" x14ac:dyDescent="0.3">
      <c r="C25" s="245" t="s">
        <v>102</v>
      </c>
      <c r="D25" s="246"/>
      <c r="E25" s="258"/>
      <c r="F25" s="248" t="s">
        <v>38</v>
      </c>
      <c r="G25" s="249">
        <f>160+296.4</f>
        <v>456.4</v>
      </c>
      <c r="H25" s="256">
        <v>3000</v>
      </c>
      <c r="I25" s="256">
        <v>2323.33</v>
      </c>
      <c r="J25" s="270">
        <f>[3]výdavky!$K$49</f>
        <v>3400</v>
      </c>
      <c r="K25" s="251">
        <v>2000</v>
      </c>
      <c r="L25" s="271">
        <v>3400</v>
      </c>
      <c r="M25" s="260">
        <f>[3]výdavky!$L$49</f>
        <v>3400</v>
      </c>
      <c r="N25" s="261">
        <f>[3]výdavky!$M$49</f>
        <v>3400</v>
      </c>
    </row>
    <row r="26" spans="3:14" x14ac:dyDescent="0.3">
      <c r="C26" s="245" t="s">
        <v>103</v>
      </c>
      <c r="D26" s="246"/>
      <c r="E26" s="258"/>
      <c r="F26" s="248" t="s">
        <v>39</v>
      </c>
      <c r="G26" s="249">
        <v>0</v>
      </c>
      <c r="H26" s="256">
        <v>2000</v>
      </c>
      <c r="I26" s="256">
        <v>919.83</v>
      </c>
      <c r="J26" s="270">
        <f>[3]výdavky!$K$53</f>
        <v>4900</v>
      </c>
      <c r="K26" s="251">
        <v>3500</v>
      </c>
      <c r="L26" s="271">
        <v>7500</v>
      </c>
      <c r="M26" s="260">
        <v>7500</v>
      </c>
      <c r="N26" s="261">
        <v>7500</v>
      </c>
    </row>
    <row r="27" spans="3:14" x14ac:dyDescent="0.3">
      <c r="C27" s="245" t="s">
        <v>115</v>
      </c>
      <c r="D27" s="246"/>
      <c r="E27" s="258"/>
      <c r="F27" s="248" t="s">
        <v>43</v>
      </c>
      <c r="G27" s="249">
        <v>238</v>
      </c>
      <c r="H27" s="256">
        <v>100</v>
      </c>
      <c r="I27" s="256">
        <f>'[4]Plnenie výdavkov'!$I$100</f>
        <v>51</v>
      </c>
      <c r="J27" s="270">
        <f>[3]výdavky!$K$54</f>
        <v>100</v>
      </c>
      <c r="K27" s="251">
        <v>100</v>
      </c>
      <c r="L27" s="271">
        <v>100</v>
      </c>
      <c r="M27" s="260">
        <v>100</v>
      </c>
      <c r="N27" s="261">
        <v>100</v>
      </c>
    </row>
    <row r="28" spans="3:14" ht="27.6" x14ac:dyDescent="0.3">
      <c r="C28" s="245" t="s">
        <v>105</v>
      </c>
      <c r="D28" s="246"/>
      <c r="E28" s="258"/>
      <c r="F28" s="255" t="s">
        <v>217</v>
      </c>
      <c r="G28" s="249">
        <v>7156</v>
      </c>
      <c r="H28" s="250">
        <v>5850</v>
      </c>
      <c r="I28" s="250">
        <v>7768</v>
      </c>
      <c r="J28" s="270">
        <v>4500</v>
      </c>
      <c r="K28" s="251">
        <v>4100</v>
      </c>
      <c r="L28" s="273">
        <v>17400</v>
      </c>
      <c r="M28" s="274">
        <v>6000</v>
      </c>
      <c r="N28" s="275">
        <v>6000</v>
      </c>
    </row>
    <row r="29" spans="3:14" s="63" customFormat="1" x14ac:dyDescent="0.3">
      <c r="C29" s="245" t="s">
        <v>104</v>
      </c>
      <c r="D29" s="246" t="s">
        <v>172</v>
      </c>
      <c r="E29" s="258"/>
      <c r="F29" s="248" t="s">
        <v>196</v>
      </c>
      <c r="G29" s="249">
        <v>0</v>
      </c>
      <c r="H29" s="250">
        <v>0</v>
      </c>
      <c r="I29" s="250">
        <v>915.6</v>
      </c>
      <c r="J29" s="256">
        <v>0</v>
      </c>
      <c r="K29" s="256">
        <v>950</v>
      </c>
      <c r="L29" s="260">
        <v>0</v>
      </c>
      <c r="M29" s="276">
        <v>0</v>
      </c>
      <c r="N29" s="257">
        <v>0</v>
      </c>
    </row>
    <row r="30" spans="3:14" s="63" customFormat="1" x14ac:dyDescent="0.3">
      <c r="C30" s="245" t="s">
        <v>101</v>
      </c>
      <c r="D30" s="246" t="s">
        <v>173</v>
      </c>
      <c r="E30" s="258"/>
      <c r="F30" s="255" t="s">
        <v>194</v>
      </c>
      <c r="G30" s="249">
        <v>0</v>
      </c>
      <c r="H30" s="250">
        <v>0</v>
      </c>
      <c r="I30" s="250">
        <v>162</v>
      </c>
      <c r="J30" s="256">
        <v>0</v>
      </c>
      <c r="K30" s="256">
        <v>424.5</v>
      </c>
      <c r="L30" s="260">
        <v>0</v>
      </c>
      <c r="M30" s="276">
        <v>0</v>
      </c>
      <c r="N30" s="257">
        <v>0</v>
      </c>
    </row>
    <row r="31" spans="3:14" x14ac:dyDescent="0.3">
      <c r="C31" s="245"/>
      <c r="D31" s="246"/>
      <c r="E31" s="263" t="s">
        <v>24</v>
      </c>
      <c r="F31" s="264"/>
      <c r="G31" s="265">
        <f>SUM(G19:G30)</f>
        <v>133724.89000000001</v>
      </c>
      <c r="H31" s="266">
        <f>SUM(H19:H30)</f>
        <v>168735</v>
      </c>
      <c r="I31" s="266">
        <f>SUM(I19:I30)</f>
        <v>147928.13999999996</v>
      </c>
      <c r="J31" s="266">
        <f>SUM(J19:J28)</f>
        <v>187811</v>
      </c>
      <c r="K31" s="266">
        <f>SUM(K19:K30)</f>
        <v>164574.5</v>
      </c>
      <c r="L31" s="266">
        <f>L19+L20+L21+L22+L23+L24+L25+L26+L27+L28</f>
        <v>217714</v>
      </c>
      <c r="M31" s="277">
        <f>SUM(N19:N28)</f>
        <v>206314</v>
      </c>
      <c r="N31" s="267">
        <f>SUM(N19:N30)</f>
        <v>206314</v>
      </c>
    </row>
    <row r="32" spans="3:14" x14ac:dyDescent="0.3">
      <c r="C32" s="245"/>
      <c r="D32" s="246"/>
      <c r="E32" s="258"/>
      <c r="F32" s="248"/>
      <c r="G32" s="268"/>
      <c r="H32" s="250"/>
      <c r="I32" s="250"/>
      <c r="J32" s="250"/>
      <c r="K32" s="250"/>
      <c r="L32" s="251"/>
      <c r="M32" s="252"/>
      <c r="N32" s="253"/>
    </row>
    <row r="33" spans="3:14" x14ac:dyDescent="0.3">
      <c r="C33" s="245"/>
      <c r="D33" s="269" t="s">
        <v>106</v>
      </c>
      <c r="E33" s="247" t="s">
        <v>149</v>
      </c>
      <c r="F33" s="248"/>
      <c r="G33" s="268"/>
      <c r="H33" s="250"/>
      <c r="I33" s="250"/>
      <c r="J33" s="250"/>
      <c r="K33" s="250"/>
      <c r="L33" s="251"/>
      <c r="M33" s="252"/>
      <c r="N33" s="253"/>
    </row>
    <row r="34" spans="3:14" x14ac:dyDescent="0.3">
      <c r="C34" s="245" t="s">
        <v>97</v>
      </c>
      <c r="D34" s="246"/>
      <c r="E34" s="258"/>
      <c r="F34" s="255" t="s">
        <v>33</v>
      </c>
      <c r="G34" s="249">
        <v>4576.7700000000004</v>
      </c>
      <c r="H34" s="250">
        <v>8000</v>
      </c>
      <c r="I34" s="250">
        <v>6276.44</v>
      </c>
      <c r="J34" s="250">
        <f>[3]výdavky!$K$75</f>
        <v>4000</v>
      </c>
      <c r="K34" s="250">
        <v>2200</v>
      </c>
      <c r="L34" s="249">
        <v>3500</v>
      </c>
      <c r="M34" s="278">
        <v>3500</v>
      </c>
      <c r="N34" s="279">
        <v>3500</v>
      </c>
    </row>
    <row r="35" spans="3:14" x14ac:dyDescent="0.3">
      <c r="C35" s="245" t="s">
        <v>98</v>
      </c>
      <c r="D35" s="246"/>
      <c r="E35" s="258"/>
      <c r="F35" s="248" t="s">
        <v>34</v>
      </c>
      <c r="G35" s="249">
        <f>450+75+702.5+52.4+175.2+68.25</f>
        <v>1523.3500000000001</v>
      </c>
      <c r="H35" s="250">
        <v>2796</v>
      </c>
      <c r="I35" s="250">
        <v>2234.14</v>
      </c>
      <c r="J35" s="250">
        <f>[3]výdavky!$K$83</f>
        <v>1438</v>
      </c>
      <c r="K35" s="250">
        <v>725.65</v>
      </c>
      <c r="L35" s="249">
        <v>1259</v>
      </c>
      <c r="M35" s="278">
        <v>1259</v>
      </c>
      <c r="N35" s="279">
        <v>1259</v>
      </c>
    </row>
    <row r="36" spans="3:14" x14ac:dyDescent="0.3">
      <c r="C36" s="245" t="s">
        <v>104</v>
      </c>
      <c r="D36" s="246"/>
      <c r="E36" s="258"/>
      <c r="F36" s="248" t="s">
        <v>36</v>
      </c>
      <c r="G36" s="249">
        <f>464.5</f>
        <v>464.5</v>
      </c>
      <c r="H36" s="250">
        <v>2300</v>
      </c>
      <c r="I36" s="250">
        <v>1800</v>
      </c>
      <c r="J36" s="250">
        <f>[3]výdavky!$K$84</f>
        <v>2300</v>
      </c>
      <c r="K36" s="250">
        <v>1500</v>
      </c>
      <c r="L36" s="249">
        <v>2000</v>
      </c>
      <c r="M36" s="278">
        <v>2000</v>
      </c>
      <c r="N36" s="279">
        <v>2000</v>
      </c>
    </row>
    <row r="37" spans="3:14" ht="26.4" customHeight="1" x14ac:dyDescent="0.3">
      <c r="C37" s="245" t="s">
        <v>105</v>
      </c>
      <c r="D37" s="246"/>
      <c r="E37" s="258"/>
      <c r="F37" s="255" t="s">
        <v>76</v>
      </c>
      <c r="G37" s="249">
        <v>0</v>
      </c>
      <c r="H37" s="250">
        <v>0</v>
      </c>
      <c r="I37" s="250">
        <v>0</v>
      </c>
      <c r="J37" s="250">
        <v>0</v>
      </c>
      <c r="K37" s="250">
        <v>0</v>
      </c>
      <c r="L37" s="251">
        <v>0</v>
      </c>
      <c r="M37" s="252">
        <v>0</v>
      </c>
      <c r="N37" s="257">
        <v>0</v>
      </c>
    </row>
    <row r="38" spans="3:14" x14ac:dyDescent="0.3">
      <c r="C38" s="245"/>
      <c r="D38" s="246"/>
      <c r="E38" s="263" t="s">
        <v>24</v>
      </c>
      <c r="F38" s="264"/>
      <c r="G38" s="265">
        <f t="shared" ref="G38:H38" si="1">SUM(G34:G37)</f>
        <v>6564.6200000000008</v>
      </c>
      <c r="H38" s="266">
        <f t="shared" si="1"/>
        <v>13096</v>
      </c>
      <c r="I38" s="266">
        <f>SUM(I34:I37)</f>
        <v>10310.58</v>
      </c>
      <c r="J38" s="266">
        <f>SUM(J34:J37)</f>
        <v>7738</v>
      </c>
      <c r="K38" s="266">
        <f>SUM(K34:K37)</f>
        <v>4425.6499999999996</v>
      </c>
      <c r="L38" s="266">
        <f t="shared" ref="L38:M38" si="2">SUM(L34:L37)</f>
        <v>6759</v>
      </c>
      <c r="M38" s="277">
        <f t="shared" si="2"/>
        <v>6759</v>
      </c>
      <c r="N38" s="267">
        <f>SUM(N33:N37)</f>
        <v>6759</v>
      </c>
    </row>
    <row r="39" spans="3:14" x14ac:dyDescent="0.3">
      <c r="C39" s="245"/>
      <c r="D39" s="246"/>
      <c r="E39" s="280"/>
      <c r="F39" s="281"/>
      <c r="G39" s="282"/>
      <c r="H39" s="256"/>
      <c r="I39" s="256"/>
      <c r="J39" s="256"/>
      <c r="K39" s="256"/>
      <c r="L39" s="260"/>
      <c r="M39" s="276"/>
      <c r="N39" s="253"/>
    </row>
    <row r="40" spans="3:14" x14ac:dyDescent="0.3">
      <c r="C40" s="245"/>
      <c r="D40" s="283">
        <v>160</v>
      </c>
      <c r="E40" s="280"/>
      <c r="F40" s="281" t="s">
        <v>157</v>
      </c>
      <c r="G40" s="274"/>
      <c r="H40" s="256"/>
      <c r="I40" s="256"/>
      <c r="J40" s="256"/>
      <c r="K40" s="256"/>
      <c r="L40" s="260"/>
      <c r="M40" s="276"/>
      <c r="N40" s="253"/>
    </row>
    <row r="41" spans="3:14" x14ac:dyDescent="0.3">
      <c r="C41" s="245" t="s">
        <v>97</v>
      </c>
      <c r="D41" s="246"/>
      <c r="E41" s="280"/>
      <c r="F41" s="255" t="s">
        <v>33</v>
      </c>
      <c r="G41" s="274">
        <v>0</v>
      </c>
      <c r="H41" s="256">
        <v>240</v>
      </c>
      <c r="I41" s="256">
        <f>'[4]Plnenie výdavkov'!$I$23</f>
        <v>240</v>
      </c>
      <c r="J41" s="256">
        <v>0</v>
      </c>
      <c r="K41" s="256">
        <v>0</v>
      </c>
      <c r="L41" s="260">
        <v>0</v>
      </c>
      <c r="M41" s="276">
        <v>0</v>
      </c>
      <c r="N41" s="257">
        <v>0</v>
      </c>
    </row>
    <row r="42" spans="3:14" x14ac:dyDescent="0.3">
      <c r="C42" s="245" t="s">
        <v>98</v>
      </c>
      <c r="D42" s="246"/>
      <c r="E42" s="280"/>
      <c r="F42" s="248" t="s">
        <v>34</v>
      </c>
      <c r="G42" s="274">
        <v>28.19</v>
      </c>
      <c r="H42" s="256"/>
      <c r="I42" s="256">
        <v>0</v>
      </c>
      <c r="J42" s="256">
        <v>0</v>
      </c>
      <c r="K42" s="256">
        <v>0</v>
      </c>
      <c r="L42" s="260">
        <v>0</v>
      </c>
      <c r="M42" s="276">
        <v>0</v>
      </c>
      <c r="N42" s="257">
        <v>0</v>
      </c>
    </row>
    <row r="43" spans="3:14" s="63" customFormat="1" x14ac:dyDescent="0.3">
      <c r="C43" s="245" t="s">
        <v>100</v>
      </c>
      <c r="D43" s="246"/>
      <c r="E43" s="280"/>
      <c r="F43" s="281" t="s">
        <v>170</v>
      </c>
      <c r="G43" s="274">
        <v>0</v>
      </c>
      <c r="H43" s="256">
        <v>85</v>
      </c>
      <c r="I43" s="256">
        <f>'[4]Plnenie výdavkov'!$I$27</f>
        <v>79.989999999999995</v>
      </c>
      <c r="J43" s="256">
        <v>0</v>
      </c>
      <c r="K43" s="256">
        <v>0</v>
      </c>
      <c r="L43" s="260">
        <v>0</v>
      </c>
      <c r="M43" s="276">
        <v>0</v>
      </c>
      <c r="N43" s="257">
        <v>0</v>
      </c>
    </row>
    <row r="44" spans="3:14" x14ac:dyDescent="0.3">
      <c r="C44" s="245" t="s">
        <v>101</v>
      </c>
      <c r="D44" s="246"/>
      <c r="E44" s="280"/>
      <c r="F44" s="248" t="s">
        <v>35</v>
      </c>
      <c r="G44" s="274">
        <v>287.5</v>
      </c>
      <c r="H44" s="256">
        <v>310</v>
      </c>
      <c r="I44" s="256">
        <f>'[4]Plnenie výdavkov'!$I$30</f>
        <v>295</v>
      </c>
      <c r="J44" s="256">
        <v>0</v>
      </c>
      <c r="K44" s="256">
        <v>0</v>
      </c>
      <c r="L44" s="260">
        <v>0</v>
      </c>
      <c r="M44" s="276">
        <v>0</v>
      </c>
      <c r="N44" s="257">
        <v>0</v>
      </c>
    </row>
    <row r="45" spans="3:14" s="63" customFormat="1" x14ac:dyDescent="0.3">
      <c r="C45" s="245" t="s">
        <v>102</v>
      </c>
      <c r="D45" s="246"/>
      <c r="E45" s="280"/>
      <c r="F45" s="248" t="s">
        <v>38</v>
      </c>
      <c r="G45" s="274">
        <v>0</v>
      </c>
      <c r="H45" s="256">
        <v>55</v>
      </c>
      <c r="I45" s="256">
        <f>'[4]Plnenie výdavkov'!$I$31</f>
        <v>55</v>
      </c>
      <c r="J45" s="256">
        <v>0</v>
      </c>
      <c r="K45" s="256">
        <v>0</v>
      </c>
      <c r="L45" s="260">
        <v>0</v>
      </c>
      <c r="M45" s="276">
        <v>0</v>
      </c>
      <c r="N45" s="257">
        <v>0</v>
      </c>
    </row>
    <row r="46" spans="3:14" s="63" customFormat="1" x14ac:dyDescent="0.3">
      <c r="C46" s="245" t="s">
        <v>103</v>
      </c>
      <c r="D46" s="246"/>
      <c r="E46" s="280"/>
      <c r="F46" s="248" t="s">
        <v>171</v>
      </c>
      <c r="G46" s="274">
        <v>0</v>
      </c>
      <c r="H46" s="256">
        <v>25</v>
      </c>
      <c r="I46" s="256">
        <f>'[4]Plnenie výdavkov'!$I$33</f>
        <v>15</v>
      </c>
      <c r="J46" s="256">
        <v>0</v>
      </c>
      <c r="K46" s="256">
        <v>0</v>
      </c>
      <c r="L46" s="260">
        <v>0</v>
      </c>
      <c r="M46" s="276">
        <v>0</v>
      </c>
      <c r="N46" s="257">
        <v>0</v>
      </c>
    </row>
    <row r="47" spans="3:14" s="63" customFormat="1" x14ac:dyDescent="0.3">
      <c r="C47" s="245" t="s">
        <v>104</v>
      </c>
      <c r="D47" s="246"/>
      <c r="E47" s="280"/>
      <c r="F47" s="248" t="s">
        <v>36</v>
      </c>
      <c r="G47" s="274">
        <v>0</v>
      </c>
      <c r="H47" s="256">
        <v>3785</v>
      </c>
      <c r="I47" s="256">
        <f>'[4]Plnenie výdavkov'!$I$39</f>
        <v>2805.01</v>
      </c>
      <c r="J47" s="256">
        <v>0</v>
      </c>
      <c r="K47" s="256">
        <v>0</v>
      </c>
      <c r="L47" s="260">
        <v>0</v>
      </c>
      <c r="M47" s="276">
        <v>0</v>
      </c>
      <c r="N47" s="257">
        <v>0</v>
      </c>
    </row>
    <row r="48" spans="3:14" x14ac:dyDescent="0.3">
      <c r="C48" s="245"/>
      <c r="D48" s="246"/>
      <c r="E48" s="263" t="s">
        <v>24</v>
      </c>
      <c r="F48" s="264"/>
      <c r="G48" s="265">
        <f>SUM(G40:G47)</f>
        <v>315.69</v>
      </c>
      <c r="H48" s="266">
        <f>SUM(H40:H47)</f>
        <v>4500</v>
      </c>
      <c r="I48" s="266">
        <f>SUM(I41:I47)</f>
        <v>3490</v>
      </c>
      <c r="J48" s="266">
        <v>0</v>
      </c>
      <c r="K48" s="266">
        <v>0</v>
      </c>
      <c r="L48" s="266">
        <f t="shared" ref="L48:M48" si="3">SUM(L40:L44)</f>
        <v>0</v>
      </c>
      <c r="M48" s="277">
        <f t="shared" si="3"/>
        <v>0</v>
      </c>
      <c r="N48" s="267">
        <v>0</v>
      </c>
    </row>
    <row r="49" spans="3:14" x14ac:dyDescent="0.3">
      <c r="C49" s="245"/>
      <c r="D49" s="246"/>
      <c r="E49" s="258"/>
      <c r="F49" s="248"/>
      <c r="G49" s="268"/>
      <c r="H49" s="250"/>
      <c r="I49" s="250"/>
      <c r="J49" s="250"/>
      <c r="K49" s="250"/>
      <c r="L49" s="251"/>
      <c r="M49" s="252"/>
      <c r="N49" s="253"/>
    </row>
    <row r="50" spans="3:14" x14ac:dyDescent="0.3">
      <c r="C50" s="245"/>
      <c r="D50" s="269" t="s">
        <v>107</v>
      </c>
      <c r="E50" s="247" t="s">
        <v>44</v>
      </c>
      <c r="F50" s="248"/>
      <c r="G50" s="268"/>
      <c r="H50" s="250"/>
      <c r="I50" s="250"/>
      <c r="J50" s="250"/>
      <c r="K50" s="250"/>
      <c r="L50" s="251"/>
      <c r="M50" s="252"/>
      <c r="N50" s="253"/>
    </row>
    <row r="51" spans="3:14" x14ac:dyDescent="0.3">
      <c r="C51" s="245" t="s">
        <v>108</v>
      </c>
      <c r="D51" s="246"/>
      <c r="E51" s="258"/>
      <c r="F51" s="248" t="s">
        <v>45</v>
      </c>
      <c r="G51" s="249">
        <v>25999.08</v>
      </c>
      <c r="H51" s="250">
        <v>26000</v>
      </c>
      <c r="I51" s="256">
        <v>22626.47</v>
      </c>
      <c r="J51" s="256">
        <v>22000</v>
      </c>
      <c r="K51" s="256">
        <v>22000</v>
      </c>
      <c r="L51" s="274">
        <v>27300</v>
      </c>
      <c r="M51" s="284">
        <f>27300-1000</f>
        <v>26300</v>
      </c>
      <c r="N51" s="279">
        <f>27300-2000</f>
        <v>25300</v>
      </c>
    </row>
    <row r="52" spans="3:14" x14ac:dyDescent="0.3">
      <c r="C52" s="245"/>
      <c r="D52" s="246"/>
      <c r="E52" s="263" t="s">
        <v>24</v>
      </c>
      <c r="F52" s="264"/>
      <c r="G52" s="265">
        <f t="shared" ref="G52:H52" si="4">G51</f>
        <v>25999.08</v>
      </c>
      <c r="H52" s="266">
        <f t="shared" si="4"/>
        <v>26000</v>
      </c>
      <c r="I52" s="266">
        <f>SUM(I51)</f>
        <v>22626.47</v>
      </c>
      <c r="J52" s="266">
        <f>SUM(J51)</f>
        <v>22000</v>
      </c>
      <c r="K52" s="266">
        <f>SUM(K51)</f>
        <v>22000</v>
      </c>
      <c r="L52" s="266">
        <f t="shared" ref="L52:M52" si="5">L51</f>
        <v>27300</v>
      </c>
      <c r="M52" s="277">
        <f t="shared" si="5"/>
        <v>26300</v>
      </c>
      <c r="N52" s="277">
        <f>N51</f>
        <v>25300</v>
      </c>
    </row>
    <row r="53" spans="3:14" x14ac:dyDescent="0.3">
      <c r="C53" s="245"/>
      <c r="D53" s="246"/>
      <c r="E53" s="258"/>
      <c r="F53" s="248"/>
      <c r="G53" s="268"/>
      <c r="H53" s="250"/>
      <c r="I53" s="250"/>
      <c r="J53" s="250"/>
      <c r="K53" s="250"/>
      <c r="L53" s="251"/>
      <c r="M53" s="252"/>
      <c r="N53" s="253"/>
    </row>
    <row r="54" spans="3:14" x14ac:dyDescent="0.3">
      <c r="C54" s="245"/>
      <c r="D54" s="269" t="s">
        <v>109</v>
      </c>
      <c r="E54" s="247" t="s">
        <v>72</v>
      </c>
      <c r="F54" s="248"/>
      <c r="G54" s="268"/>
      <c r="H54" s="250"/>
      <c r="I54" s="250"/>
      <c r="J54" s="250"/>
      <c r="K54" s="250"/>
      <c r="L54" s="251"/>
      <c r="M54" s="252"/>
      <c r="N54" s="253"/>
    </row>
    <row r="55" spans="3:14" x14ac:dyDescent="0.3">
      <c r="C55" s="245" t="s">
        <v>101</v>
      </c>
      <c r="D55" s="246"/>
      <c r="E55" s="258"/>
      <c r="F55" s="248" t="s">
        <v>73</v>
      </c>
      <c r="G55" s="249">
        <v>0</v>
      </c>
      <c r="H55" s="250">
        <v>0</v>
      </c>
      <c r="I55" s="250">
        <v>0</v>
      </c>
      <c r="J55" s="250">
        <v>0</v>
      </c>
      <c r="K55" s="250">
        <v>0</v>
      </c>
      <c r="L55" s="251">
        <v>0</v>
      </c>
      <c r="M55" s="252">
        <v>0</v>
      </c>
      <c r="N55" s="257">
        <v>0</v>
      </c>
    </row>
    <row r="56" spans="3:14" x14ac:dyDescent="0.3">
      <c r="C56" s="245" t="s">
        <v>104</v>
      </c>
      <c r="D56" s="246"/>
      <c r="E56" s="258"/>
      <c r="F56" s="248" t="s">
        <v>36</v>
      </c>
      <c r="G56" s="249">
        <v>0</v>
      </c>
      <c r="H56" s="250">
        <v>500</v>
      </c>
      <c r="I56" s="250">
        <v>0</v>
      </c>
      <c r="J56" s="250">
        <v>500</v>
      </c>
      <c r="K56" s="250">
        <v>0</v>
      </c>
      <c r="L56" s="251">
        <v>500</v>
      </c>
      <c r="M56" s="252">
        <v>500</v>
      </c>
      <c r="N56" s="257">
        <v>500</v>
      </c>
    </row>
    <row r="57" spans="3:14" x14ac:dyDescent="0.3">
      <c r="C57" s="245"/>
      <c r="D57" s="246"/>
      <c r="E57" s="263" t="s">
        <v>24</v>
      </c>
      <c r="F57" s="264"/>
      <c r="G57" s="265">
        <f t="shared" ref="G57:H57" si="6">SUM(G55:G56)</f>
        <v>0</v>
      </c>
      <c r="H57" s="266">
        <f t="shared" si="6"/>
        <v>500</v>
      </c>
      <c r="I57" s="266">
        <v>0</v>
      </c>
      <c r="J57" s="266">
        <v>500</v>
      </c>
      <c r="K57" s="266">
        <f>SUM(K55:K56)</f>
        <v>0</v>
      </c>
      <c r="L57" s="266">
        <f t="shared" ref="L57:M57" si="7">SUM(L55:L56)</f>
        <v>500</v>
      </c>
      <c r="M57" s="277">
        <f t="shared" si="7"/>
        <v>500</v>
      </c>
      <c r="N57" s="267">
        <v>500</v>
      </c>
    </row>
    <row r="58" spans="3:14" x14ac:dyDescent="0.3">
      <c r="C58" s="245"/>
      <c r="D58" s="246"/>
      <c r="E58" s="258"/>
      <c r="F58" s="248"/>
      <c r="G58" s="268"/>
      <c r="H58" s="250"/>
      <c r="I58" s="250"/>
      <c r="J58" s="250"/>
      <c r="K58" s="250"/>
      <c r="L58" s="251"/>
      <c r="M58" s="252"/>
      <c r="N58" s="253"/>
    </row>
    <row r="59" spans="3:14" x14ac:dyDescent="0.3">
      <c r="C59" s="245"/>
      <c r="D59" s="269" t="s">
        <v>110</v>
      </c>
      <c r="E59" s="247" t="s">
        <v>46</v>
      </c>
      <c r="F59" s="248"/>
      <c r="G59" s="249"/>
      <c r="H59" s="250"/>
      <c r="I59" s="250"/>
      <c r="J59" s="250"/>
      <c r="K59" s="250"/>
      <c r="L59" s="251"/>
      <c r="M59" s="252"/>
      <c r="N59" s="253"/>
    </row>
    <row r="60" spans="3:14" x14ac:dyDescent="0.3">
      <c r="C60" s="245" t="s">
        <v>101</v>
      </c>
      <c r="D60" s="246"/>
      <c r="E60" s="258"/>
      <c r="F60" s="248" t="s">
        <v>73</v>
      </c>
      <c r="G60" s="249">
        <v>0</v>
      </c>
      <c r="H60" s="250">
        <v>0</v>
      </c>
      <c r="I60" s="250">
        <v>0</v>
      </c>
      <c r="J60" s="250">
        <v>0</v>
      </c>
      <c r="K60" s="250">
        <v>0</v>
      </c>
      <c r="L60" s="251">
        <v>0</v>
      </c>
      <c r="M60" s="252">
        <v>0</v>
      </c>
      <c r="N60" s="257">
        <v>0</v>
      </c>
    </row>
    <row r="61" spans="3:14" x14ac:dyDescent="0.3">
      <c r="C61" s="245" t="s">
        <v>104</v>
      </c>
      <c r="D61" s="246"/>
      <c r="E61" s="258"/>
      <c r="F61" s="248" t="s">
        <v>36</v>
      </c>
      <c r="G61" s="249">
        <v>1200</v>
      </c>
      <c r="H61" s="250">
        <v>1200</v>
      </c>
      <c r="I61" s="250">
        <v>1200</v>
      </c>
      <c r="J61" s="256">
        <v>1320</v>
      </c>
      <c r="K61" s="256">
        <v>1200</v>
      </c>
      <c r="L61" s="260">
        <v>1200</v>
      </c>
      <c r="M61" s="276">
        <v>1200</v>
      </c>
      <c r="N61" s="257">
        <v>1200</v>
      </c>
    </row>
    <row r="62" spans="3:14" x14ac:dyDescent="0.3">
      <c r="C62" s="245"/>
      <c r="D62" s="246"/>
      <c r="E62" s="263" t="s">
        <v>24</v>
      </c>
      <c r="F62" s="264"/>
      <c r="G62" s="265">
        <f t="shared" ref="G62:H62" si="8">SUM(G60:G61)</f>
        <v>1200</v>
      </c>
      <c r="H62" s="266">
        <f t="shared" si="8"/>
        <v>1200</v>
      </c>
      <c r="I62" s="266">
        <f>SUM(I60:I61)</f>
        <v>1200</v>
      </c>
      <c r="J62" s="266">
        <f>SUM(J60:J61)</f>
        <v>1320</v>
      </c>
      <c r="K62" s="266">
        <f>SUM(K61)</f>
        <v>1200</v>
      </c>
      <c r="L62" s="266">
        <f t="shared" ref="L62:M62" si="9">SUM(L60:L61)</f>
        <v>1200</v>
      </c>
      <c r="M62" s="277">
        <f t="shared" si="9"/>
        <v>1200</v>
      </c>
      <c r="N62" s="267">
        <v>1200</v>
      </c>
    </row>
    <row r="63" spans="3:14" x14ac:dyDescent="0.3">
      <c r="C63" s="245"/>
      <c r="D63" s="246"/>
      <c r="E63" s="258"/>
      <c r="F63" s="248"/>
      <c r="G63" s="268"/>
      <c r="H63" s="250"/>
      <c r="I63" s="250"/>
      <c r="J63" s="250"/>
      <c r="K63" s="250"/>
      <c r="L63" s="251"/>
      <c r="M63" s="252"/>
      <c r="N63" s="253"/>
    </row>
    <row r="64" spans="3:14" x14ac:dyDescent="0.3">
      <c r="C64" s="245"/>
      <c r="D64" s="269" t="s">
        <v>111</v>
      </c>
      <c r="E64" s="247" t="s">
        <v>47</v>
      </c>
      <c r="F64" s="248"/>
      <c r="G64" s="249"/>
      <c r="H64" s="250"/>
      <c r="I64" s="250"/>
      <c r="J64" s="250"/>
      <c r="K64" s="250"/>
      <c r="L64" s="251"/>
      <c r="M64" s="252"/>
      <c r="N64" s="253"/>
    </row>
    <row r="65" spans="3:14" x14ac:dyDescent="0.3">
      <c r="C65" s="245" t="s">
        <v>100</v>
      </c>
      <c r="D65" s="246"/>
      <c r="E65" s="258"/>
      <c r="F65" s="248" t="s">
        <v>42</v>
      </c>
      <c r="G65" s="249">
        <v>0</v>
      </c>
      <c r="H65" s="256">
        <v>100</v>
      </c>
      <c r="I65" s="256">
        <f>'[4]Plnenie výdavkov'!$I$136</f>
        <v>0</v>
      </c>
      <c r="J65" s="256">
        <v>100</v>
      </c>
      <c r="K65" s="256">
        <v>0</v>
      </c>
      <c r="L65" s="251">
        <v>100</v>
      </c>
      <c r="M65" s="252">
        <v>100</v>
      </c>
      <c r="N65" s="257">
        <v>100</v>
      </c>
    </row>
    <row r="66" spans="3:14" x14ac:dyDescent="0.3">
      <c r="C66" s="245" t="s">
        <v>101</v>
      </c>
      <c r="D66" s="246"/>
      <c r="E66" s="258"/>
      <c r="F66" s="248" t="s">
        <v>35</v>
      </c>
      <c r="G66" s="249">
        <v>1116.3</v>
      </c>
      <c r="H66" s="256">
        <v>1600</v>
      </c>
      <c r="I66" s="256">
        <f>'[4]Plnenie výdavkov'!$I$137</f>
        <v>32.4</v>
      </c>
      <c r="J66" s="256">
        <v>2000</v>
      </c>
      <c r="K66" s="256">
        <v>2500</v>
      </c>
      <c r="L66" s="251">
        <v>2500</v>
      </c>
      <c r="M66" s="252">
        <v>2500</v>
      </c>
      <c r="N66" s="257">
        <v>2500</v>
      </c>
    </row>
    <row r="67" spans="3:14" x14ac:dyDescent="0.3">
      <c r="C67" s="245" t="s">
        <v>102</v>
      </c>
      <c r="D67" s="246"/>
      <c r="E67" s="258"/>
      <c r="F67" s="248" t="s">
        <v>38</v>
      </c>
      <c r="G67" s="249">
        <v>0</v>
      </c>
      <c r="H67" s="256">
        <v>300</v>
      </c>
      <c r="I67" s="256">
        <f>'[4]Plnenie výdavkov'!$I$142</f>
        <v>0</v>
      </c>
      <c r="J67" s="256">
        <v>700</v>
      </c>
      <c r="K67" s="256">
        <v>500</v>
      </c>
      <c r="L67" s="251">
        <v>700</v>
      </c>
      <c r="M67" s="252">
        <v>700</v>
      </c>
      <c r="N67" s="257">
        <v>700</v>
      </c>
    </row>
    <row r="68" spans="3:14" x14ac:dyDescent="0.3">
      <c r="C68" s="245" t="s">
        <v>103</v>
      </c>
      <c r="D68" s="246"/>
      <c r="E68" s="258"/>
      <c r="F68" s="248" t="s">
        <v>39</v>
      </c>
      <c r="G68" s="249">
        <v>0</v>
      </c>
      <c r="H68" s="256">
        <v>1000</v>
      </c>
      <c r="I68" s="256">
        <f>'[4]Plnenie výdavkov'!$I$143</f>
        <v>0</v>
      </c>
      <c r="J68" s="256">
        <v>1200</v>
      </c>
      <c r="K68" s="256">
        <v>200</v>
      </c>
      <c r="L68" s="251">
        <v>1200</v>
      </c>
      <c r="M68" s="252">
        <v>1200</v>
      </c>
      <c r="N68" s="257">
        <v>1200</v>
      </c>
    </row>
    <row r="69" spans="3:14" x14ac:dyDescent="0.3">
      <c r="C69" s="245" t="s">
        <v>104</v>
      </c>
      <c r="D69" s="246"/>
      <c r="E69" s="258"/>
      <c r="F69" s="248" t="s">
        <v>36</v>
      </c>
      <c r="G69" s="249"/>
      <c r="H69" s="256"/>
      <c r="I69" s="256">
        <v>0</v>
      </c>
      <c r="J69" s="256">
        <v>250</v>
      </c>
      <c r="K69" s="256">
        <v>0</v>
      </c>
      <c r="L69" s="251">
        <v>250</v>
      </c>
      <c r="M69" s="252">
        <v>250</v>
      </c>
      <c r="N69" s="257">
        <v>250</v>
      </c>
    </row>
    <row r="70" spans="3:14" ht="27.6" x14ac:dyDescent="0.3">
      <c r="C70" s="245" t="s">
        <v>105</v>
      </c>
      <c r="D70" s="246"/>
      <c r="E70" s="258"/>
      <c r="F70" s="255" t="s">
        <v>76</v>
      </c>
      <c r="G70" s="249">
        <v>0</v>
      </c>
      <c r="H70" s="256">
        <v>300</v>
      </c>
      <c r="I70" s="256">
        <f>'[4]Plnenie výdavkov'!$I$144</f>
        <v>0</v>
      </c>
      <c r="J70" s="256">
        <v>250</v>
      </c>
      <c r="K70" s="256">
        <v>150</v>
      </c>
      <c r="L70" s="251">
        <v>250</v>
      </c>
      <c r="M70" s="252">
        <v>250</v>
      </c>
      <c r="N70" s="257">
        <v>250</v>
      </c>
    </row>
    <row r="71" spans="3:14" s="63" customFormat="1" x14ac:dyDescent="0.3">
      <c r="C71" s="245" t="s">
        <v>101</v>
      </c>
      <c r="D71" s="246">
        <v>111</v>
      </c>
      <c r="E71" s="258"/>
      <c r="F71" s="248" t="s">
        <v>35</v>
      </c>
      <c r="G71" s="249"/>
      <c r="H71" s="256">
        <v>0</v>
      </c>
      <c r="I71" s="256">
        <f>'[4]Plnenie výdavkov'!$I$268+'[4]Plnenie výdavkov'!$I$269</f>
        <v>3000</v>
      </c>
      <c r="J71" s="256">
        <v>3000</v>
      </c>
      <c r="K71" s="256">
        <v>3000</v>
      </c>
      <c r="L71" s="251">
        <v>3000</v>
      </c>
      <c r="M71" s="252">
        <v>3000</v>
      </c>
      <c r="N71" s="257">
        <v>3000</v>
      </c>
    </row>
    <row r="72" spans="3:14" x14ac:dyDescent="0.3">
      <c r="C72" s="245"/>
      <c r="D72" s="246"/>
      <c r="E72" s="263" t="s">
        <v>24</v>
      </c>
      <c r="F72" s="264"/>
      <c r="G72" s="265">
        <f>SUM(G65:G70)</f>
        <v>1116.3</v>
      </c>
      <c r="H72" s="266">
        <f t="shared" ref="H72:N72" si="10">SUM(H65:H71)</f>
        <v>3300</v>
      </c>
      <c r="I72" s="266">
        <f t="shared" si="10"/>
        <v>3032.4</v>
      </c>
      <c r="J72" s="266">
        <f t="shared" si="10"/>
        <v>7500</v>
      </c>
      <c r="K72" s="266">
        <f t="shared" si="10"/>
        <v>6350</v>
      </c>
      <c r="L72" s="266">
        <f t="shared" si="10"/>
        <v>8000</v>
      </c>
      <c r="M72" s="277">
        <f t="shared" si="10"/>
        <v>8000</v>
      </c>
      <c r="N72" s="267">
        <f t="shared" si="10"/>
        <v>8000</v>
      </c>
    </row>
    <row r="73" spans="3:14" x14ac:dyDescent="0.3">
      <c r="C73" s="245"/>
      <c r="D73" s="246"/>
      <c r="E73" s="247"/>
      <c r="F73" s="248"/>
      <c r="G73" s="268"/>
      <c r="H73" s="250"/>
      <c r="I73" s="250"/>
      <c r="J73" s="250"/>
      <c r="K73" s="250"/>
      <c r="L73" s="251"/>
      <c r="M73" s="252"/>
      <c r="N73" s="253"/>
    </row>
    <row r="74" spans="3:14" x14ac:dyDescent="0.3">
      <c r="C74" s="245"/>
      <c r="D74" s="269" t="s">
        <v>112</v>
      </c>
      <c r="E74" s="247" t="s">
        <v>74</v>
      </c>
      <c r="F74" s="248"/>
      <c r="G74" s="268"/>
      <c r="H74" s="250"/>
      <c r="I74" s="250"/>
      <c r="J74" s="250"/>
      <c r="K74" s="250"/>
      <c r="L74" s="251"/>
      <c r="M74" s="252"/>
      <c r="N74" s="253"/>
    </row>
    <row r="75" spans="3:14" x14ac:dyDescent="0.3">
      <c r="C75" s="245" t="s">
        <v>97</v>
      </c>
      <c r="D75" s="246"/>
      <c r="E75" s="247"/>
      <c r="F75" s="255" t="s">
        <v>33</v>
      </c>
      <c r="G75" s="274">
        <v>0</v>
      </c>
      <c r="H75" s="250">
        <v>0</v>
      </c>
      <c r="I75" s="250">
        <v>0</v>
      </c>
      <c r="J75" s="250">
        <v>0</v>
      </c>
      <c r="K75" s="250">
        <v>0</v>
      </c>
      <c r="L75" s="251">
        <v>0</v>
      </c>
      <c r="M75" s="252">
        <v>0</v>
      </c>
      <c r="N75" s="257">
        <v>0</v>
      </c>
    </row>
    <row r="76" spans="3:14" x14ac:dyDescent="0.3">
      <c r="C76" s="245" t="s">
        <v>98</v>
      </c>
      <c r="D76" s="246"/>
      <c r="E76" s="247"/>
      <c r="F76" s="248" t="s">
        <v>34</v>
      </c>
      <c r="G76" s="274">
        <v>0</v>
      </c>
      <c r="H76" s="250">
        <v>0</v>
      </c>
      <c r="I76" s="250">
        <v>0</v>
      </c>
      <c r="J76" s="250">
        <v>0</v>
      </c>
      <c r="K76" s="250">
        <v>0</v>
      </c>
      <c r="L76" s="251">
        <v>0</v>
      </c>
      <c r="M76" s="252">
        <v>0</v>
      </c>
      <c r="N76" s="257">
        <v>0</v>
      </c>
    </row>
    <row r="77" spans="3:14" x14ac:dyDescent="0.3">
      <c r="C77" s="245" t="s">
        <v>104</v>
      </c>
      <c r="D77" s="246"/>
      <c r="E77" s="247"/>
      <c r="F77" s="248" t="s">
        <v>36</v>
      </c>
      <c r="G77" s="274">
        <v>0</v>
      </c>
      <c r="H77" s="250">
        <v>0</v>
      </c>
      <c r="I77" s="250">
        <v>0</v>
      </c>
      <c r="J77" s="250">
        <v>0</v>
      </c>
      <c r="K77" s="250">
        <v>0</v>
      </c>
      <c r="L77" s="251">
        <v>0</v>
      </c>
      <c r="M77" s="252">
        <v>0</v>
      </c>
      <c r="N77" s="257">
        <v>0</v>
      </c>
    </row>
    <row r="78" spans="3:14" ht="27.6" x14ac:dyDescent="0.3">
      <c r="C78" s="245" t="s">
        <v>105</v>
      </c>
      <c r="D78" s="246"/>
      <c r="E78" s="247"/>
      <c r="F78" s="255" t="s">
        <v>76</v>
      </c>
      <c r="G78" s="274">
        <v>0</v>
      </c>
      <c r="H78" s="250">
        <v>0</v>
      </c>
      <c r="I78" s="250">
        <v>0</v>
      </c>
      <c r="J78" s="250">
        <v>0</v>
      </c>
      <c r="K78" s="250">
        <v>0</v>
      </c>
      <c r="L78" s="251">
        <v>0</v>
      </c>
      <c r="M78" s="252">
        <v>0</v>
      </c>
      <c r="N78" s="257">
        <v>0</v>
      </c>
    </row>
    <row r="79" spans="3:14" x14ac:dyDescent="0.3">
      <c r="C79" s="245"/>
      <c r="D79" s="246"/>
      <c r="E79" s="263" t="s">
        <v>24</v>
      </c>
      <c r="F79" s="264"/>
      <c r="G79" s="285">
        <f t="shared" ref="G79:H79" si="11">SUM(G75:G78)</f>
        <v>0</v>
      </c>
      <c r="H79" s="266">
        <f t="shared" si="11"/>
        <v>0</v>
      </c>
      <c r="I79" s="266">
        <v>0</v>
      </c>
      <c r="J79" s="266">
        <v>0</v>
      </c>
      <c r="K79" s="266">
        <v>0</v>
      </c>
      <c r="L79" s="266">
        <f t="shared" ref="L79:M79" si="12">SUM(L75:L78)</f>
        <v>0</v>
      </c>
      <c r="M79" s="277">
        <f t="shared" si="12"/>
        <v>0</v>
      </c>
      <c r="N79" s="267">
        <v>0</v>
      </c>
    </row>
    <row r="80" spans="3:14" x14ac:dyDescent="0.3">
      <c r="C80" s="245"/>
      <c r="D80" s="246"/>
      <c r="E80" s="258"/>
      <c r="F80" s="248"/>
      <c r="G80" s="268"/>
      <c r="H80" s="250"/>
      <c r="I80" s="250"/>
      <c r="J80" s="250"/>
      <c r="K80" s="250"/>
      <c r="L80" s="251"/>
      <c r="M80" s="252"/>
      <c r="N80" s="253"/>
    </row>
    <row r="81" spans="3:14" x14ac:dyDescent="0.3">
      <c r="C81" s="245"/>
      <c r="D81" s="269" t="s">
        <v>155</v>
      </c>
      <c r="E81" s="247" t="s">
        <v>48</v>
      </c>
      <c r="F81" s="248"/>
      <c r="G81" s="268"/>
      <c r="H81" s="250"/>
      <c r="I81" s="250"/>
      <c r="J81" s="250"/>
      <c r="K81" s="250"/>
      <c r="L81" s="251"/>
      <c r="M81" s="252"/>
      <c r="N81" s="253"/>
    </row>
    <row r="82" spans="3:14" x14ac:dyDescent="0.3">
      <c r="C82" s="245" t="s">
        <v>97</v>
      </c>
      <c r="D82" s="269"/>
      <c r="E82" s="247"/>
      <c r="F82" s="255" t="s">
        <v>33</v>
      </c>
      <c r="G82" s="249">
        <v>0</v>
      </c>
      <c r="H82" s="250">
        <v>500</v>
      </c>
      <c r="I82" s="250">
        <f>'[4]Plnenie výdavkov'!$I$146</f>
        <v>0</v>
      </c>
      <c r="J82" s="250">
        <f>[3]výdavky!$K$103</f>
        <v>500</v>
      </c>
      <c r="K82" s="250">
        <v>0</v>
      </c>
      <c r="L82" s="257">
        <v>0</v>
      </c>
      <c r="M82" s="257">
        <v>0</v>
      </c>
      <c r="N82" s="257">
        <v>0</v>
      </c>
    </row>
    <row r="83" spans="3:14" x14ac:dyDescent="0.3">
      <c r="C83" s="245" t="s">
        <v>98</v>
      </c>
      <c r="D83" s="246"/>
      <c r="E83" s="258"/>
      <c r="F83" s="248" t="s">
        <v>34</v>
      </c>
      <c r="G83" s="274">
        <v>0</v>
      </c>
      <c r="H83" s="256">
        <v>175</v>
      </c>
      <c r="I83" s="256">
        <f>'[4]Plnenie výdavkov'!$I$154</f>
        <v>0</v>
      </c>
      <c r="J83" s="256">
        <v>180</v>
      </c>
      <c r="K83" s="256">
        <v>195.5</v>
      </c>
      <c r="L83" s="257">
        <v>360</v>
      </c>
      <c r="M83" s="257">
        <v>360</v>
      </c>
      <c r="N83" s="257">
        <v>360</v>
      </c>
    </row>
    <row r="84" spans="3:14" x14ac:dyDescent="0.3">
      <c r="C84" s="245" t="s">
        <v>101</v>
      </c>
      <c r="D84" s="246"/>
      <c r="E84" s="258"/>
      <c r="F84" s="248" t="s">
        <v>35</v>
      </c>
      <c r="G84" s="274">
        <f>3868.15+13.8</f>
        <v>3881.9500000000003</v>
      </c>
      <c r="H84" s="256">
        <v>3000</v>
      </c>
      <c r="I84" s="256">
        <v>3067.87</v>
      </c>
      <c r="J84" s="256">
        <f>[3]výdavky!$K$115</f>
        <v>3500</v>
      </c>
      <c r="K84" s="256">
        <v>3800</v>
      </c>
      <c r="L84" s="257">
        <v>5500</v>
      </c>
      <c r="M84" s="257">
        <v>5500</v>
      </c>
      <c r="N84" s="257">
        <v>5500</v>
      </c>
    </row>
    <row r="85" spans="3:14" x14ac:dyDescent="0.3">
      <c r="C85" s="245" t="s">
        <v>102</v>
      </c>
      <c r="D85" s="246"/>
      <c r="E85" s="258"/>
      <c r="F85" s="248" t="s">
        <v>38</v>
      </c>
      <c r="G85" s="274">
        <f>96.3+98.2</f>
        <v>194.5</v>
      </c>
      <c r="H85" s="256">
        <v>1000</v>
      </c>
      <c r="I85" s="256">
        <f>'[4]Plnenie výdavkov'!$I$161</f>
        <v>137.61000000000001</v>
      </c>
      <c r="J85" s="256">
        <f>[3]výdavky!$K$118</f>
        <v>1000</v>
      </c>
      <c r="K85" s="256">
        <v>0</v>
      </c>
      <c r="L85" s="257">
        <v>700</v>
      </c>
      <c r="M85" s="257">
        <v>700</v>
      </c>
      <c r="N85" s="257">
        <v>700</v>
      </c>
    </row>
    <row r="86" spans="3:14" x14ac:dyDescent="0.3">
      <c r="C86" s="245" t="s">
        <v>103</v>
      </c>
      <c r="D86" s="246"/>
      <c r="E86" s="258"/>
      <c r="F86" s="248" t="s">
        <v>39</v>
      </c>
      <c r="G86" s="274">
        <f>23.4+2989</f>
        <v>3012.4</v>
      </c>
      <c r="H86" s="256">
        <v>5000</v>
      </c>
      <c r="I86" s="256">
        <f>'[4]Plnenie výdavkov'!$I$164</f>
        <v>0</v>
      </c>
      <c r="J86" s="256">
        <f>[3]výdavky!$K$121</f>
        <v>5000</v>
      </c>
      <c r="K86" s="256">
        <v>6000</v>
      </c>
      <c r="L86" s="257">
        <v>9500</v>
      </c>
      <c r="M86" s="257">
        <v>9500</v>
      </c>
      <c r="N86" s="257">
        <v>9500</v>
      </c>
    </row>
    <row r="87" spans="3:14" x14ac:dyDescent="0.3">
      <c r="C87" s="245" t="s">
        <v>104</v>
      </c>
      <c r="D87" s="246"/>
      <c r="E87" s="258"/>
      <c r="F87" s="248" t="s">
        <v>36</v>
      </c>
      <c r="G87" s="274">
        <v>0</v>
      </c>
      <c r="H87" s="256">
        <v>10000</v>
      </c>
      <c r="I87" s="256">
        <v>506.7</v>
      </c>
      <c r="J87" s="256">
        <f>[3]výdavky!$K$122</f>
        <v>10000</v>
      </c>
      <c r="K87" s="256">
        <v>5000</v>
      </c>
      <c r="L87" s="257">
        <v>8500</v>
      </c>
      <c r="M87" s="257">
        <v>8500</v>
      </c>
      <c r="N87" s="257">
        <v>8500</v>
      </c>
    </row>
    <row r="88" spans="3:14" ht="27.6" x14ac:dyDescent="0.3">
      <c r="C88" s="245" t="s">
        <v>105</v>
      </c>
      <c r="D88" s="246"/>
      <c r="E88" s="258"/>
      <c r="F88" s="255" t="s">
        <v>76</v>
      </c>
      <c r="G88" s="249">
        <v>0</v>
      </c>
      <c r="H88" s="250">
        <v>0</v>
      </c>
      <c r="I88" s="250">
        <v>0</v>
      </c>
      <c r="J88" s="250">
        <v>0</v>
      </c>
      <c r="K88" s="250">
        <v>0</v>
      </c>
      <c r="L88" s="251">
        <v>0</v>
      </c>
      <c r="M88" s="252">
        <v>0</v>
      </c>
      <c r="N88" s="257">
        <v>0</v>
      </c>
    </row>
    <row r="89" spans="3:14" s="63" customFormat="1" x14ac:dyDescent="0.3">
      <c r="C89" s="245"/>
      <c r="D89" s="246">
        <v>111</v>
      </c>
      <c r="E89" s="258"/>
      <c r="F89" s="255" t="s">
        <v>197</v>
      </c>
      <c r="G89" s="249">
        <v>0</v>
      </c>
      <c r="H89" s="250">
        <v>0</v>
      </c>
      <c r="I89" s="250">
        <v>7515.34</v>
      </c>
      <c r="J89" s="250">
        <v>0</v>
      </c>
      <c r="K89" s="250">
        <v>0</v>
      </c>
      <c r="L89" s="251">
        <v>0</v>
      </c>
      <c r="M89" s="252">
        <v>0</v>
      </c>
      <c r="N89" s="257">
        <v>0</v>
      </c>
    </row>
    <row r="90" spans="3:14" x14ac:dyDescent="0.3">
      <c r="C90" s="245"/>
      <c r="D90" s="246"/>
      <c r="E90" s="263" t="s">
        <v>24</v>
      </c>
      <c r="F90" s="264"/>
      <c r="G90" s="265">
        <f>SUM(G83:G88)</f>
        <v>7088.85</v>
      </c>
      <c r="H90" s="266">
        <f>SUM(H82:H89)</f>
        <v>19675</v>
      </c>
      <c r="I90" s="266">
        <f>SUM(I82:I89)</f>
        <v>11227.52</v>
      </c>
      <c r="J90" s="266">
        <f>SUM(J82:J88)</f>
        <v>20180</v>
      </c>
      <c r="K90" s="266">
        <f>SUM(K82:K87)</f>
        <v>14995.5</v>
      </c>
      <c r="L90" s="266">
        <f>SUM(L82:L89)</f>
        <v>24560</v>
      </c>
      <c r="M90" s="277">
        <f>SUM(M82:M89)</f>
        <v>24560</v>
      </c>
      <c r="N90" s="267">
        <f>SUM(N82:N89)</f>
        <v>24560</v>
      </c>
    </row>
    <row r="91" spans="3:14" x14ac:dyDescent="0.3">
      <c r="C91" s="245"/>
      <c r="D91" s="246"/>
      <c r="E91" s="258"/>
      <c r="F91" s="248"/>
      <c r="G91" s="268"/>
      <c r="H91" s="250"/>
      <c r="I91" s="250"/>
      <c r="J91" s="250"/>
      <c r="K91" s="250"/>
      <c r="L91" s="251"/>
      <c r="M91" s="252"/>
      <c r="N91" s="253"/>
    </row>
    <row r="92" spans="3:14" x14ac:dyDescent="0.3">
      <c r="C92" s="245"/>
      <c r="D92" s="269" t="s">
        <v>113</v>
      </c>
      <c r="E92" s="247" t="s">
        <v>49</v>
      </c>
      <c r="F92" s="248"/>
      <c r="G92" s="268"/>
      <c r="H92" s="250"/>
      <c r="I92" s="250"/>
      <c r="J92" s="250"/>
      <c r="K92" s="250"/>
      <c r="L92" s="251"/>
      <c r="M92" s="252"/>
      <c r="N92" s="253"/>
    </row>
    <row r="93" spans="3:14" x14ac:dyDescent="0.3">
      <c r="C93" s="245" t="s">
        <v>101</v>
      </c>
      <c r="D93" s="246"/>
      <c r="E93" s="258"/>
      <c r="F93" s="248" t="s">
        <v>35</v>
      </c>
      <c r="G93" s="274">
        <f>988.2+184</f>
        <v>1172.2</v>
      </c>
      <c r="H93" s="256">
        <v>2000</v>
      </c>
      <c r="I93" s="256">
        <f>'[4]Plnenie výdavkov'!$I$167</f>
        <v>0</v>
      </c>
      <c r="J93" s="256">
        <f>[3]výdavky!$K$124</f>
        <v>2500</v>
      </c>
      <c r="K93" s="256">
        <v>200</v>
      </c>
      <c r="L93" s="260">
        <f>[3]výdavky!$L$124</f>
        <v>2500</v>
      </c>
      <c r="M93" s="276">
        <f>[3]výdavky!$M$124</f>
        <v>2500</v>
      </c>
      <c r="N93" s="257">
        <v>2500</v>
      </c>
    </row>
    <row r="94" spans="3:14" x14ac:dyDescent="0.3">
      <c r="C94" s="245" t="s">
        <v>104</v>
      </c>
      <c r="D94" s="246"/>
      <c r="E94" s="258"/>
      <c r="F94" s="248" t="s">
        <v>36</v>
      </c>
      <c r="G94" s="274">
        <v>31239.29</v>
      </c>
      <c r="H94" s="256">
        <v>35000</v>
      </c>
      <c r="I94" s="256">
        <v>23057.52</v>
      </c>
      <c r="J94" s="256">
        <f>35000+1800</f>
        <v>36800</v>
      </c>
      <c r="K94" s="256">
        <v>23000</v>
      </c>
      <c r="L94" s="274">
        <v>32500</v>
      </c>
      <c r="M94" s="284">
        <v>32500</v>
      </c>
      <c r="N94" s="279">
        <v>32500</v>
      </c>
    </row>
    <row r="95" spans="3:14" s="63" customFormat="1" x14ac:dyDescent="0.3">
      <c r="C95" s="245" t="s">
        <v>101</v>
      </c>
      <c r="D95" s="246">
        <v>111</v>
      </c>
      <c r="E95" s="258"/>
      <c r="F95" s="248" t="s">
        <v>198</v>
      </c>
      <c r="G95" s="274"/>
      <c r="H95" s="256"/>
      <c r="I95" s="256">
        <v>985.9</v>
      </c>
      <c r="J95" s="256"/>
      <c r="K95" s="256">
        <v>990</v>
      </c>
      <c r="L95" s="260">
        <v>990</v>
      </c>
      <c r="M95" s="276">
        <v>990</v>
      </c>
      <c r="N95" s="257">
        <v>990</v>
      </c>
    </row>
    <row r="96" spans="3:14" x14ac:dyDescent="0.3">
      <c r="C96" s="245"/>
      <c r="D96" s="246"/>
      <c r="E96" s="263" t="s">
        <v>24</v>
      </c>
      <c r="F96" s="264"/>
      <c r="G96" s="265">
        <f>SUM(G93:G94)</f>
        <v>32411.49</v>
      </c>
      <c r="H96" s="266">
        <f>SUM(H93:H94)</f>
        <v>37000</v>
      </c>
      <c r="I96" s="266">
        <f>SUM(I93:I95)</f>
        <v>24043.420000000002</v>
      </c>
      <c r="J96" s="266">
        <f>SUM(J93:J94)</f>
        <v>39300</v>
      </c>
      <c r="K96" s="266">
        <f>SUM(K93:K95)</f>
        <v>24190</v>
      </c>
      <c r="L96" s="266">
        <f>SUM(L93:L95)</f>
        <v>35990</v>
      </c>
      <c r="M96" s="277">
        <f>SUM(M93:M95)</f>
        <v>35990</v>
      </c>
      <c r="N96" s="267">
        <f>SUM(N93:N95)</f>
        <v>35990</v>
      </c>
    </row>
    <row r="97" spans="3:14" x14ac:dyDescent="0.3">
      <c r="C97" s="245"/>
      <c r="D97" s="246"/>
      <c r="E97" s="280"/>
      <c r="F97" s="281"/>
      <c r="G97" s="274"/>
      <c r="H97" s="256"/>
      <c r="I97" s="256"/>
      <c r="J97" s="256"/>
      <c r="K97" s="256"/>
      <c r="L97" s="260"/>
      <c r="M97" s="276"/>
      <c r="N97" s="253"/>
    </row>
    <row r="98" spans="3:14" x14ac:dyDescent="0.3">
      <c r="C98" s="245"/>
      <c r="D98" s="246">
        <v>520</v>
      </c>
      <c r="E98" s="280" t="s">
        <v>156</v>
      </c>
      <c r="F98" s="281"/>
      <c r="G98" s="274"/>
      <c r="H98" s="256"/>
      <c r="I98" s="256"/>
      <c r="J98" s="256"/>
      <c r="K98" s="256"/>
      <c r="L98" s="260"/>
      <c r="M98" s="276"/>
      <c r="N98" s="253"/>
    </row>
    <row r="99" spans="3:14" x14ac:dyDescent="0.3">
      <c r="C99" s="245" t="s">
        <v>101</v>
      </c>
      <c r="D99" s="246"/>
      <c r="E99" s="280"/>
      <c r="F99" s="248" t="s">
        <v>35</v>
      </c>
      <c r="G99" s="274">
        <v>120</v>
      </c>
      <c r="H99" s="256">
        <v>0</v>
      </c>
      <c r="I99" s="256">
        <v>0</v>
      </c>
      <c r="J99" s="256">
        <v>0</v>
      </c>
      <c r="K99" s="256">
        <v>0</v>
      </c>
      <c r="L99" s="260">
        <v>0</v>
      </c>
      <c r="M99" s="276">
        <v>0</v>
      </c>
      <c r="N99" s="257">
        <v>0</v>
      </c>
    </row>
    <row r="100" spans="3:14" x14ac:dyDescent="0.3">
      <c r="C100" s="245"/>
      <c r="D100" s="246"/>
      <c r="E100" s="263" t="s">
        <v>24</v>
      </c>
      <c r="F100" s="264"/>
      <c r="G100" s="265">
        <f>SUM(G99:G99)</f>
        <v>120</v>
      </c>
      <c r="H100" s="266">
        <f>SUM(H99:H99)</f>
        <v>0</v>
      </c>
      <c r="I100" s="266">
        <v>0</v>
      </c>
      <c r="J100" s="266">
        <v>0</v>
      </c>
      <c r="K100" s="266">
        <v>0</v>
      </c>
      <c r="L100" s="266">
        <f>SUM(L99:L99)</f>
        <v>0</v>
      </c>
      <c r="M100" s="277">
        <f>SUM(M99:M99)</f>
        <v>0</v>
      </c>
      <c r="N100" s="267">
        <v>0</v>
      </c>
    </row>
    <row r="101" spans="3:14" s="63" customFormat="1" x14ac:dyDescent="0.3">
      <c r="C101" s="286"/>
      <c r="D101" s="287"/>
      <c r="E101" s="280"/>
      <c r="F101" s="281"/>
      <c r="G101" s="274"/>
      <c r="H101" s="256"/>
      <c r="I101" s="256"/>
      <c r="J101" s="256"/>
      <c r="K101" s="256"/>
      <c r="L101" s="260"/>
      <c r="M101" s="276"/>
      <c r="N101" s="253"/>
    </row>
    <row r="102" spans="3:14" s="63" customFormat="1" x14ac:dyDescent="0.3">
      <c r="C102" s="286"/>
      <c r="D102" s="287">
        <v>620</v>
      </c>
      <c r="E102" s="280"/>
      <c r="F102" s="288" t="s">
        <v>199</v>
      </c>
      <c r="G102" s="274"/>
      <c r="H102" s="256"/>
      <c r="I102" s="256"/>
      <c r="J102" s="256"/>
      <c r="K102" s="256"/>
      <c r="L102" s="260"/>
      <c r="M102" s="276"/>
      <c r="N102" s="253"/>
    </row>
    <row r="103" spans="3:14" s="63" customFormat="1" x14ac:dyDescent="0.3">
      <c r="C103" s="286" t="s">
        <v>101</v>
      </c>
      <c r="D103" s="287"/>
      <c r="E103" s="280"/>
      <c r="F103" s="281" t="s">
        <v>35</v>
      </c>
      <c r="G103" s="274">
        <v>0</v>
      </c>
      <c r="H103" s="256">
        <v>0</v>
      </c>
      <c r="I103" s="256">
        <v>1603.09</v>
      </c>
      <c r="J103" s="256">
        <v>0</v>
      </c>
      <c r="K103" s="256">
        <v>300</v>
      </c>
      <c r="L103" s="260">
        <v>400</v>
      </c>
      <c r="M103" s="276">
        <v>400</v>
      </c>
      <c r="N103" s="257">
        <v>400</v>
      </c>
    </row>
    <row r="104" spans="3:14" s="63" customFormat="1" x14ac:dyDescent="0.3">
      <c r="C104" s="286" t="s">
        <v>104</v>
      </c>
      <c r="D104" s="287"/>
      <c r="E104" s="280"/>
      <c r="F104" s="281" t="s">
        <v>36</v>
      </c>
      <c r="G104" s="274">
        <v>0</v>
      </c>
      <c r="H104" s="256">
        <v>0</v>
      </c>
      <c r="I104" s="256">
        <v>503.2</v>
      </c>
      <c r="J104" s="256">
        <v>0</v>
      </c>
      <c r="K104" s="256">
        <v>100</v>
      </c>
      <c r="L104" s="260">
        <v>100</v>
      </c>
      <c r="M104" s="276">
        <v>100</v>
      </c>
      <c r="N104" s="257">
        <v>100</v>
      </c>
    </row>
    <row r="105" spans="3:14" s="63" customFormat="1" x14ac:dyDescent="0.3">
      <c r="C105" s="245"/>
      <c r="D105" s="246"/>
      <c r="E105" s="263" t="s">
        <v>24</v>
      </c>
      <c r="F105" s="264"/>
      <c r="G105" s="265">
        <f>SUM(G104:G104)</f>
        <v>0</v>
      </c>
      <c r="H105" s="266">
        <f>SUM(H104:H104)</f>
        <v>0</v>
      </c>
      <c r="I105" s="266">
        <f>I103+I104</f>
        <v>2106.29</v>
      </c>
      <c r="J105" s="266">
        <v>0</v>
      </c>
      <c r="K105" s="266">
        <f>SUM(K103:K104)</f>
        <v>400</v>
      </c>
      <c r="L105" s="266">
        <f>SUM(L103:L104)</f>
        <v>500</v>
      </c>
      <c r="M105" s="277">
        <f>SUM(M103:M104)</f>
        <v>500</v>
      </c>
      <c r="N105" s="267">
        <f>SUM(N103:N104)</f>
        <v>500</v>
      </c>
    </row>
    <row r="106" spans="3:14" s="63" customFormat="1" x14ac:dyDescent="0.3">
      <c r="C106" s="245"/>
      <c r="D106" s="246"/>
      <c r="E106" s="280"/>
      <c r="F106" s="281"/>
      <c r="G106" s="274"/>
      <c r="H106" s="256"/>
      <c r="I106" s="256"/>
      <c r="J106" s="256"/>
      <c r="K106" s="256"/>
      <c r="L106" s="260"/>
      <c r="M106" s="276"/>
      <c r="N106" s="253"/>
    </row>
    <row r="107" spans="3:14" x14ac:dyDescent="0.3">
      <c r="C107" s="245"/>
      <c r="D107" s="269" t="s">
        <v>114</v>
      </c>
      <c r="E107" s="247" t="s">
        <v>50</v>
      </c>
      <c r="F107" s="248"/>
      <c r="G107" s="249"/>
      <c r="H107" s="250"/>
      <c r="I107" s="250"/>
      <c r="J107" s="250"/>
      <c r="K107" s="250"/>
      <c r="L107" s="251"/>
      <c r="M107" s="252"/>
      <c r="N107" s="253"/>
    </row>
    <row r="108" spans="3:14" x14ac:dyDescent="0.3">
      <c r="C108" s="245" t="s">
        <v>97</v>
      </c>
      <c r="D108" s="269"/>
      <c r="E108" s="247"/>
      <c r="F108" s="255" t="s">
        <v>33</v>
      </c>
      <c r="G108" s="249">
        <v>0</v>
      </c>
      <c r="H108" s="250">
        <v>0</v>
      </c>
      <c r="I108" s="250">
        <v>0</v>
      </c>
      <c r="J108" s="250">
        <v>0</v>
      </c>
      <c r="K108" s="250">
        <v>0</v>
      </c>
      <c r="L108" s="251">
        <v>0</v>
      </c>
      <c r="M108" s="252">
        <v>0</v>
      </c>
      <c r="N108" s="257">
        <v>0</v>
      </c>
    </row>
    <row r="109" spans="3:14" x14ac:dyDescent="0.3">
      <c r="C109" s="245" t="s">
        <v>98</v>
      </c>
      <c r="D109" s="246"/>
      <c r="E109" s="258"/>
      <c r="F109" s="248" t="s">
        <v>34</v>
      </c>
      <c r="G109" s="249">
        <v>0</v>
      </c>
      <c r="H109" s="250">
        <v>0</v>
      </c>
      <c r="I109" s="250">
        <v>0</v>
      </c>
      <c r="J109" s="250">
        <v>0</v>
      </c>
      <c r="K109" s="250">
        <v>0</v>
      </c>
      <c r="L109" s="251">
        <v>0</v>
      </c>
      <c r="M109" s="252">
        <v>0</v>
      </c>
      <c r="N109" s="257">
        <v>0</v>
      </c>
    </row>
    <row r="110" spans="3:14" x14ac:dyDescent="0.3">
      <c r="C110" s="245" t="s">
        <v>100</v>
      </c>
      <c r="D110" s="246"/>
      <c r="E110" s="258"/>
      <c r="F110" s="248" t="s">
        <v>42</v>
      </c>
      <c r="G110" s="274">
        <f>22062.97+305.25</f>
        <v>22368.22</v>
      </c>
      <c r="H110" s="256">
        <v>9200</v>
      </c>
      <c r="I110" s="256">
        <f>'[4]Plnenie výdavkov'!$I$174</f>
        <v>9750.74</v>
      </c>
      <c r="J110" s="256">
        <f>[3]výdavky!$K$132</f>
        <v>12200</v>
      </c>
      <c r="K110" s="256">
        <v>9500</v>
      </c>
      <c r="L110" s="249">
        <v>13400</v>
      </c>
      <c r="M110" s="252">
        <v>13400</v>
      </c>
      <c r="N110" s="257">
        <v>13400</v>
      </c>
    </row>
    <row r="111" spans="3:14" x14ac:dyDescent="0.3">
      <c r="C111" s="245" t="s">
        <v>101</v>
      </c>
      <c r="D111" s="246"/>
      <c r="E111" s="258"/>
      <c r="F111" s="248" t="s">
        <v>35</v>
      </c>
      <c r="G111" s="274">
        <f>3582</f>
        <v>3582</v>
      </c>
      <c r="H111" s="256">
        <v>1500</v>
      </c>
      <c r="I111" s="256">
        <v>504.09</v>
      </c>
      <c r="J111" s="256">
        <f>[3]výdavky!$K$133</f>
        <v>1500</v>
      </c>
      <c r="K111" s="256">
        <v>1700</v>
      </c>
      <c r="L111" s="249">
        <v>4000</v>
      </c>
      <c r="M111" s="252">
        <v>4000</v>
      </c>
      <c r="N111" s="257">
        <v>4000</v>
      </c>
    </row>
    <row r="112" spans="3:14" x14ac:dyDescent="0.3">
      <c r="C112" s="245" t="s">
        <v>103</v>
      </c>
      <c r="D112" s="246"/>
      <c r="E112" s="258"/>
      <c r="F112" s="248" t="s">
        <v>39</v>
      </c>
      <c r="G112" s="274">
        <v>1160.45</v>
      </c>
      <c r="H112" s="256">
        <v>1500</v>
      </c>
      <c r="I112" s="256">
        <v>1026</v>
      </c>
      <c r="J112" s="256">
        <f>[3]výdavky!$K$134</f>
        <v>1500</v>
      </c>
      <c r="K112" s="256">
        <v>1500</v>
      </c>
      <c r="L112" s="251">
        <v>2000</v>
      </c>
      <c r="M112" s="252">
        <v>2000</v>
      </c>
      <c r="N112" s="257">
        <v>2000</v>
      </c>
    </row>
    <row r="113" spans="3:14" x14ac:dyDescent="0.3">
      <c r="C113" s="245" t="s">
        <v>115</v>
      </c>
      <c r="D113" s="246"/>
      <c r="E113" s="258"/>
      <c r="F113" s="248" t="s">
        <v>43</v>
      </c>
      <c r="G113" s="274">
        <v>0</v>
      </c>
      <c r="H113" s="256">
        <v>1000</v>
      </c>
      <c r="I113" s="256">
        <v>837.46</v>
      </c>
      <c r="J113" s="256">
        <f>[3]výdavky!$K$135</f>
        <v>1000</v>
      </c>
      <c r="K113" s="256">
        <v>1500</v>
      </c>
      <c r="L113" s="251">
        <v>1500</v>
      </c>
      <c r="M113" s="252">
        <v>1500</v>
      </c>
      <c r="N113" s="257">
        <v>1500</v>
      </c>
    </row>
    <row r="114" spans="3:14" x14ac:dyDescent="0.3">
      <c r="C114" s="245" t="s">
        <v>104</v>
      </c>
      <c r="D114" s="246"/>
      <c r="E114" s="258"/>
      <c r="F114" s="248" t="s">
        <v>36</v>
      </c>
      <c r="G114" s="274">
        <v>0</v>
      </c>
      <c r="H114" s="256">
        <v>1000</v>
      </c>
      <c r="I114" s="256">
        <f>'[4]Plnenie výdavkov'!$I$178</f>
        <v>0</v>
      </c>
      <c r="J114" s="256">
        <f>[3]výdavky!$K$136</f>
        <v>1000</v>
      </c>
      <c r="K114" s="256">
        <v>0</v>
      </c>
      <c r="L114" s="251">
        <f>[3]výdavky!$L$136</f>
        <v>1000</v>
      </c>
      <c r="M114" s="252">
        <f>[3]výdavky!$M$136</f>
        <v>1000</v>
      </c>
      <c r="N114" s="257">
        <v>1000</v>
      </c>
    </row>
    <row r="115" spans="3:14" x14ac:dyDescent="0.3">
      <c r="C115" s="245"/>
      <c r="D115" s="246"/>
      <c r="E115" s="263" t="s">
        <v>24</v>
      </c>
      <c r="F115" s="264"/>
      <c r="G115" s="265">
        <f>SUM(G109:G114)</f>
        <v>27110.670000000002</v>
      </c>
      <c r="H115" s="266">
        <f>SUM(H109:H114)</f>
        <v>14200</v>
      </c>
      <c r="I115" s="266">
        <f>SUM(I108:I114)</f>
        <v>12118.29</v>
      </c>
      <c r="J115" s="266">
        <f>SUM(J108:J114)</f>
        <v>17200</v>
      </c>
      <c r="K115" s="266">
        <f>SUM(K108:K114)</f>
        <v>14200</v>
      </c>
      <c r="L115" s="266">
        <f t="shared" ref="L115:M115" si="13">SUM(L109:L114)</f>
        <v>21900</v>
      </c>
      <c r="M115" s="277">
        <f t="shared" si="13"/>
        <v>21900</v>
      </c>
      <c r="N115" s="267">
        <f>SUM(N108:N114)</f>
        <v>21900</v>
      </c>
    </row>
    <row r="116" spans="3:14" x14ac:dyDescent="0.3">
      <c r="C116" s="245"/>
      <c r="D116" s="246"/>
      <c r="E116" s="258"/>
      <c r="F116" s="248"/>
      <c r="G116" s="249"/>
      <c r="H116" s="250"/>
      <c r="I116" s="250"/>
      <c r="J116" s="250"/>
      <c r="K116" s="250"/>
      <c r="L116" s="251"/>
      <c r="M116" s="252"/>
      <c r="N116" s="253"/>
    </row>
    <row r="117" spans="3:14" x14ac:dyDescent="0.3">
      <c r="C117" s="245"/>
      <c r="D117" s="269" t="s">
        <v>116</v>
      </c>
      <c r="E117" s="247" t="s">
        <v>51</v>
      </c>
      <c r="F117" s="248"/>
      <c r="G117" s="249"/>
      <c r="H117" s="250"/>
      <c r="I117" s="250"/>
      <c r="J117" s="250"/>
      <c r="K117" s="250"/>
      <c r="L117" s="251"/>
      <c r="M117" s="252"/>
      <c r="N117" s="253"/>
    </row>
    <row r="118" spans="3:14" x14ac:dyDescent="0.3">
      <c r="C118" s="245" t="s">
        <v>97</v>
      </c>
      <c r="D118" s="246"/>
      <c r="E118" s="258"/>
      <c r="F118" s="255" t="s">
        <v>33</v>
      </c>
      <c r="G118" s="274">
        <v>6551.37</v>
      </c>
      <c r="H118" s="256">
        <v>8000</v>
      </c>
      <c r="I118" s="256">
        <v>7547.6</v>
      </c>
      <c r="J118" s="256">
        <v>8500</v>
      </c>
      <c r="K118" s="256">
        <v>7000</v>
      </c>
      <c r="L118" s="251">
        <v>8500</v>
      </c>
      <c r="M118" s="252">
        <v>8500</v>
      </c>
      <c r="N118" s="257">
        <v>8500</v>
      </c>
    </row>
    <row r="119" spans="3:14" x14ac:dyDescent="0.3">
      <c r="C119" s="245" t="s">
        <v>98</v>
      </c>
      <c r="D119" s="246"/>
      <c r="E119" s="258"/>
      <c r="F119" s="248" t="s">
        <v>34</v>
      </c>
      <c r="G119" s="274">
        <f>655.09+91.66+917.13+104.72+196.49+32.71+343.84</f>
        <v>2341.6400000000003</v>
      </c>
      <c r="H119" s="256">
        <v>2796</v>
      </c>
      <c r="I119" s="256">
        <v>3042.62</v>
      </c>
      <c r="J119" s="256">
        <v>3616</v>
      </c>
      <c r="K119" s="256">
        <v>2900</v>
      </c>
      <c r="L119" s="260">
        <v>3571</v>
      </c>
      <c r="M119" s="276">
        <v>3571</v>
      </c>
      <c r="N119" s="257">
        <v>3571</v>
      </c>
    </row>
    <row r="120" spans="3:14" x14ac:dyDescent="0.3">
      <c r="C120" s="245" t="s">
        <v>100</v>
      </c>
      <c r="D120" s="246"/>
      <c r="E120" s="258"/>
      <c r="F120" s="248" t="s">
        <v>42</v>
      </c>
      <c r="G120" s="274">
        <f>4956.46+2137.39</f>
        <v>7093.85</v>
      </c>
      <c r="H120" s="256">
        <v>10000</v>
      </c>
      <c r="I120" s="256">
        <v>12475.34</v>
      </c>
      <c r="J120" s="256">
        <v>21500</v>
      </c>
      <c r="K120" s="256">
        <v>22000</v>
      </c>
      <c r="L120" s="260">
        <v>26500</v>
      </c>
      <c r="M120" s="276">
        <v>26500</v>
      </c>
      <c r="N120" s="257">
        <v>26500</v>
      </c>
    </row>
    <row r="121" spans="3:14" s="63" customFormat="1" x14ac:dyDescent="0.3">
      <c r="C121" s="245" t="s">
        <v>102</v>
      </c>
      <c r="D121" s="246"/>
      <c r="E121" s="258"/>
      <c r="F121" s="248" t="s">
        <v>188</v>
      </c>
      <c r="G121" s="274"/>
      <c r="H121" s="256">
        <v>0</v>
      </c>
      <c r="I121" s="256">
        <v>0</v>
      </c>
      <c r="J121" s="256">
        <v>100</v>
      </c>
      <c r="K121" s="256">
        <v>0</v>
      </c>
      <c r="L121" s="260">
        <v>100</v>
      </c>
      <c r="M121" s="276">
        <v>100</v>
      </c>
      <c r="N121" s="257">
        <v>100</v>
      </c>
    </row>
    <row r="122" spans="3:14" x14ac:dyDescent="0.3">
      <c r="C122" s="245" t="s">
        <v>103</v>
      </c>
      <c r="D122" s="246"/>
      <c r="E122" s="258"/>
      <c r="F122" s="248" t="s">
        <v>39</v>
      </c>
      <c r="G122" s="274">
        <v>60139</v>
      </c>
      <c r="H122" s="256">
        <v>35000</v>
      </c>
      <c r="I122" s="256">
        <v>21286.29</v>
      </c>
      <c r="J122" s="256">
        <f>[3]výdavky!$K$154</f>
        <v>35500</v>
      </c>
      <c r="K122" s="256">
        <v>15000</v>
      </c>
      <c r="L122" s="251">
        <f>[3]výdavky!$L$154</f>
        <v>35500</v>
      </c>
      <c r="M122" s="252">
        <f>[3]výdavky!$M$154</f>
        <v>35500</v>
      </c>
      <c r="N122" s="257">
        <v>35500</v>
      </c>
    </row>
    <row r="123" spans="3:14" x14ac:dyDescent="0.3">
      <c r="C123" s="245" t="s">
        <v>101</v>
      </c>
      <c r="D123" s="246"/>
      <c r="E123" s="258"/>
      <c r="F123" s="248" t="s">
        <v>35</v>
      </c>
      <c r="G123" s="274">
        <v>2877.02</v>
      </c>
      <c r="H123" s="256">
        <v>2000</v>
      </c>
      <c r="I123" s="256">
        <v>3903.76</v>
      </c>
      <c r="J123" s="256">
        <v>3500</v>
      </c>
      <c r="K123" s="256">
        <v>3200</v>
      </c>
      <c r="L123" s="260">
        <v>4500</v>
      </c>
      <c r="M123" s="276">
        <v>4500</v>
      </c>
      <c r="N123" s="257">
        <v>4500</v>
      </c>
    </row>
    <row r="124" spans="3:14" x14ac:dyDescent="0.3">
      <c r="C124" s="245" t="s">
        <v>104</v>
      </c>
      <c r="D124" s="246"/>
      <c r="E124" s="258"/>
      <c r="F124" s="248" t="s">
        <v>36</v>
      </c>
      <c r="G124" s="274">
        <f>9813.13+3985</f>
        <v>13798.13</v>
      </c>
      <c r="H124" s="256">
        <v>10100</v>
      </c>
      <c r="I124" s="256">
        <v>10765.54</v>
      </c>
      <c r="J124" s="256">
        <v>10150</v>
      </c>
      <c r="K124" s="256">
        <v>8000</v>
      </c>
      <c r="L124" s="260">
        <v>10150</v>
      </c>
      <c r="M124" s="276">
        <v>10150</v>
      </c>
      <c r="N124" s="257">
        <v>10150</v>
      </c>
    </row>
    <row r="125" spans="3:14" x14ac:dyDescent="0.3">
      <c r="C125" s="245"/>
      <c r="D125" s="246"/>
      <c r="E125" s="263" t="s">
        <v>24</v>
      </c>
      <c r="F125" s="264"/>
      <c r="G125" s="265">
        <f t="shared" ref="G125:H125" si="14">SUM(G118:G124)</f>
        <v>92801.010000000009</v>
      </c>
      <c r="H125" s="266">
        <f t="shared" si="14"/>
        <v>67896</v>
      </c>
      <c r="I125" s="266">
        <f>SUM(I118:I124)</f>
        <v>59021.150000000009</v>
      </c>
      <c r="J125" s="266">
        <f>SUM(J118:J124)</f>
        <v>82866</v>
      </c>
      <c r="K125" s="266">
        <f>SUM(K118:K124)</f>
        <v>58100</v>
      </c>
      <c r="L125" s="266">
        <f t="shared" ref="L125:M125" si="15">SUM(L118:L124)</f>
        <v>88821</v>
      </c>
      <c r="M125" s="277">
        <f t="shared" si="15"/>
        <v>88821</v>
      </c>
      <c r="N125" s="267">
        <f>SUM(N118:N124)</f>
        <v>88821</v>
      </c>
    </row>
    <row r="126" spans="3:14" x14ac:dyDescent="0.3">
      <c r="C126" s="245"/>
      <c r="D126" s="246"/>
      <c r="E126" s="258"/>
      <c r="F126" s="248"/>
      <c r="G126" s="249"/>
      <c r="H126" s="250"/>
      <c r="I126" s="250"/>
      <c r="J126" s="250"/>
      <c r="K126" s="250"/>
      <c r="L126" s="251"/>
      <c r="M126" s="252"/>
      <c r="N126" s="253"/>
    </row>
    <row r="127" spans="3:14" x14ac:dyDescent="0.3">
      <c r="C127" s="245"/>
      <c r="D127" s="269" t="s">
        <v>117</v>
      </c>
      <c r="E127" s="247" t="s">
        <v>52</v>
      </c>
      <c r="F127" s="248"/>
      <c r="G127" s="249"/>
      <c r="H127" s="250"/>
      <c r="I127" s="250"/>
      <c r="J127" s="250"/>
      <c r="K127" s="250"/>
      <c r="L127" s="251"/>
      <c r="M127" s="252"/>
      <c r="N127" s="253"/>
    </row>
    <row r="128" spans="3:14" x14ac:dyDescent="0.3">
      <c r="C128" s="245" t="s">
        <v>100</v>
      </c>
      <c r="D128" s="246"/>
      <c r="E128" s="258"/>
      <c r="F128" s="248" t="s">
        <v>42</v>
      </c>
      <c r="G128" s="274">
        <f>150</f>
        <v>150</v>
      </c>
      <c r="H128" s="256">
        <v>1000</v>
      </c>
      <c r="I128" s="256">
        <v>0</v>
      </c>
      <c r="J128" s="256">
        <v>1000</v>
      </c>
      <c r="K128" s="256">
        <v>0</v>
      </c>
      <c r="L128" s="251">
        <v>1100</v>
      </c>
      <c r="M128" s="252">
        <v>1100</v>
      </c>
      <c r="N128" s="257">
        <v>1100</v>
      </c>
    </row>
    <row r="129" spans="3:14" x14ac:dyDescent="0.3">
      <c r="C129" s="245" t="s">
        <v>101</v>
      </c>
      <c r="D129" s="246"/>
      <c r="E129" s="258"/>
      <c r="F129" s="248" t="s">
        <v>35</v>
      </c>
      <c r="G129" s="274">
        <f>557.33+401.34</f>
        <v>958.67000000000007</v>
      </c>
      <c r="H129" s="256">
        <v>500</v>
      </c>
      <c r="I129" s="256">
        <f>'[4]Plnenie výdavkov'!$I$206</f>
        <v>418.47</v>
      </c>
      <c r="J129" s="256">
        <v>500</v>
      </c>
      <c r="K129" s="256">
        <v>802</v>
      </c>
      <c r="L129" s="251">
        <v>800</v>
      </c>
      <c r="M129" s="252">
        <v>800</v>
      </c>
      <c r="N129" s="257">
        <v>800</v>
      </c>
    </row>
    <row r="130" spans="3:14" x14ac:dyDescent="0.3">
      <c r="C130" s="245" t="s">
        <v>103</v>
      </c>
      <c r="D130" s="246"/>
      <c r="E130" s="258"/>
      <c r="F130" s="248" t="s">
        <v>39</v>
      </c>
      <c r="G130" s="274">
        <v>0</v>
      </c>
      <c r="H130" s="256">
        <v>500</v>
      </c>
      <c r="I130" s="256">
        <v>0</v>
      </c>
      <c r="J130" s="256">
        <v>500</v>
      </c>
      <c r="K130" s="256">
        <v>500</v>
      </c>
      <c r="L130" s="251">
        <v>500</v>
      </c>
      <c r="M130" s="252">
        <v>500</v>
      </c>
      <c r="N130" s="257">
        <v>500</v>
      </c>
    </row>
    <row r="131" spans="3:14" ht="27.6" x14ac:dyDescent="0.3">
      <c r="C131" s="245" t="s">
        <v>105</v>
      </c>
      <c r="D131" s="246"/>
      <c r="E131" s="258"/>
      <c r="F131" s="255" t="s">
        <v>76</v>
      </c>
      <c r="G131" s="274">
        <v>4442.67</v>
      </c>
      <c r="H131" s="256">
        <v>7000</v>
      </c>
      <c r="I131" s="256">
        <v>7000</v>
      </c>
      <c r="J131" s="256">
        <v>8000</v>
      </c>
      <c r="K131" s="256">
        <v>8000</v>
      </c>
      <c r="L131" s="260">
        <v>10000</v>
      </c>
      <c r="M131" s="276">
        <v>10000</v>
      </c>
      <c r="N131" s="261">
        <v>10000</v>
      </c>
    </row>
    <row r="132" spans="3:14" x14ac:dyDescent="0.3">
      <c r="C132" s="245"/>
      <c r="D132" s="246"/>
      <c r="E132" s="263" t="s">
        <v>24</v>
      </c>
      <c r="F132" s="264"/>
      <c r="G132" s="265">
        <f t="shared" ref="G132:H132" si="16">SUM(G128:G131)</f>
        <v>5551.34</v>
      </c>
      <c r="H132" s="266">
        <f t="shared" si="16"/>
        <v>9000</v>
      </c>
      <c r="I132" s="266">
        <f>SUM(I128:I131)</f>
        <v>7418.47</v>
      </c>
      <c r="J132" s="266">
        <f>SUM(J128:J131)</f>
        <v>10000</v>
      </c>
      <c r="K132" s="266">
        <f>SUM(K128:K131)</f>
        <v>9302</v>
      </c>
      <c r="L132" s="266">
        <f t="shared" ref="L132:M132" si="17">SUM(L128:L131)</f>
        <v>12400</v>
      </c>
      <c r="M132" s="277">
        <f t="shared" si="17"/>
        <v>12400</v>
      </c>
      <c r="N132" s="267">
        <f>SUM(N128:N131)</f>
        <v>12400</v>
      </c>
    </row>
    <row r="133" spans="3:14" x14ac:dyDescent="0.3">
      <c r="C133" s="245"/>
      <c r="D133" s="246"/>
      <c r="E133" s="258"/>
      <c r="F133" s="248"/>
      <c r="G133" s="249"/>
      <c r="H133" s="250"/>
      <c r="I133" s="250"/>
      <c r="J133" s="250"/>
      <c r="K133" s="250"/>
      <c r="L133" s="251"/>
      <c r="M133" s="252"/>
      <c r="N133" s="253"/>
    </row>
    <row r="134" spans="3:14" x14ac:dyDescent="0.3">
      <c r="C134" s="245"/>
      <c r="D134" s="269" t="s">
        <v>118</v>
      </c>
      <c r="E134" s="247" t="s">
        <v>53</v>
      </c>
      <c r="F134" s="248"/>
      <c r="G134" s="249"/>
      <c r="H134" s="250"/>
      <c r="I134" s="250"/>
      <c r="J134" s="250"/>
      <c r="K134" s="250"/>
      <c r="L134" s="251"/>
      <c r="M134" s="252"/>
      <c r="N134" s="253"/>
    </row>
    <row r="135" spans="3:14" x14ac:dyDescent="0.3">
      <c r="C135" s="245" t="s">
        <v>97</v>
      </c>
      <c r="D135" s="269"/>
      <c r="E135" s="247"/>
      <c r="F135" s="255" t="s">
        <v>33</v>
      </c>
      <c r="G135" s="249">
        <v>0</v>
      </c>
      <c r="H135" s="250">
        <v>1000</v>
      </c>
      <c r="I135" s="250">
        <f>'[4]Plnenie výdavkov'!$I$210</f>
        <v>0</v>
      </c>
      <c r="J135" s="250">
        <v>0</v>
      </c>
      <c r="K135" s="250">
        <v>0</v>
      </c>
      <c r="L135" s="251">
        <v>0</v>
      </c>
      <c r="M135" s="252">
        <v>0</v>
      </c>
      <c r="N135" s="257">
        <v>0</v>
      </c>
    </row>
    <row r="136" spans="3:14" x14ac:dyDescent="0.3">
      <c r="C136" s="245" t="s">
        <v>98</v>
      </c>
      <c r="D136" s="246"/>
      <c r="E136" s="258"/>
      <c r="F136" s="248" t="s">
        <v>34</v>
      </c>
      <c r="G136" s="274">
        <v>0</v>
      </c>
      <c r="H136" s="256">
        <v>350</v>
      </c>
      <c r="I136" s="256">
        <f>'[4]Plnenie výdavkov'!$I$218</f>
        <v>141.19999999999999</v>
      </c>
      <c r="J136" s="256">
        <v>1044</v>
      </c>
      <c r="K136" s="256">
        <v>550</v>
      </c>
      <c r="L136" s="251">
        <v>1068</v>
      </c>
      <c r="M136" s="252">
        <v>1068</v>
      </c>
      <c r="N136" s="257">
        <v>1068</v>
      </c>
    </row>
    <row r="137" spans="3:14" x14ac:dyDescent="0.3">
      <c r="C137" s="245" t="s">
        <v>100</v>
      </c>
      <c r="D137" s="246"/>
      <c r="E137" s="258"/>
      <c r="F137" s="248" t="s">
        <v>42</v>
      </c>
      <c r="G137" s="274">
        <f>2855.92+21.45</f>
        <v>2877.37</v>
      </c>
      <c r="H137" s="256">
        <v>8000</v>
      </c>
      <c r="I137" s="256">
        <v>3223.51</v>
      </c>
      <c r="J137" s="256">
        <f>[3]výdavky!$K$178</f>
        <v>8050</v>
      </c>
      <c r="K137" s="256">
        <v>6200</v>
      </c>
      <c r="L137" s="251">
        <v>8200</v>
      </c>
      <c r="M137" s="252">
        <v>8200</v>
      </c>
      <c r="N137" s="257">
        <v>8200</v>
      </c>
    </row>
    <row r="138" spans="3:14" x14ac:dyDescent="0.3">
      <c r="C138" s="245" t="s">
        <v>101</v>
      </c>
      <c r="D138" s="246"/>
      <c r="E138" s="258"/>
      <c r="F138" s="248" t="s">
        <v>35</v>
      </c>
      <c r="G138" s="274">
        <f>291+13.2+2175.8</f>
        <v>2480</v>
      </c>
      <c r="H138" s="256">
        <v>1000</v>
      </c>
      <c r="I138" s="256">
        <v>4800.59</v>
      </c>
      <c r="J138" s="256">
        <v>3000</v>
      </c>
      <c r="K138" s="256">
        <v>2500</v>
      </c>
      <c r="L138" s="251">
        <v>3500</v>
      </c>
      <c r="M138" s="252">
        <v>3500</v>
      </c>
      <c r="N138" s="257">
        <v>3500</v>
      </c>
    </row>
    <row r="139" spans="3:14" x14ac:dyDescent="0.3">
      <c r="C139" s="245" t="s">
        <v>103</v>
      </c>
      <c r="D139" s="246"/>
      <c r="E139" s="258"/>
      <c r="F139" s="248" t="s">
        <v>39</v>
      </c>
      <c r="G139" s="274">
        <v>0</v>
      </c>
      <c r="H139" s="256">
        <v>1000</v>
      </c>
      <c r="I139" s="256">
        <v>321.06</v>
      </c>
      <c r="J139" s="256">
        <f>[3]výdavky!$K$182</f>
        <v>1500</v>
      </c>
      <c r="K139" s="256">
        <v>1500</v>
      </c>
      <c r="L139" s="251">
        <v>2000</v>
      </c>
      <c r="M139" s="252">
        <v>2000</v>
      </c>
      <c r="N139" s="257">
        <v>2000</v>
      </c>
    </row>
    <row r="140" spans="3:14" x14ac:dyDescent="0.3">
      <c r="C140" s="245" t="s">
        <v>104</v>
      </c>
      <c r="D140" s="246"/>
      <c r="E140" s="258"/>
      <c r="F140" s="248" t="s">
        <v>36</v>
      </c>
      <c r="G140" s="274">
        <f>2500+146.77</f>
        <v>2646.77</v>
      </c>
      <c r="H140" s="256">
        <v>5000</v>
      </c>
      <c r="I140" s="256">
        <v>3294.1</v>
      </c>
      <c r="J140" s="256">
        <v>9500</v>
      </c>
      <c r="K140" s="256">
        <v>8500</v>
      </c>
      <c r="L140" s="251">
        <v>9600</v>
      </c>
      <c r="M140" s="252">
        <v>9600</v>
      </c>
      <c r="N140" s="257">
        <v>9600</v>
      </c>
    </row>
    <row r="141" spans="3:14" ht="27.6" x14ac:dyDescent="0.3">
      <c r="C141" s="245" t="s">
        <v>105</v>
      </c>
      <c r="D141" s="246"/>
      <c r="E141" s="258"/>
      <c r="F141" s="255" t="s">
        <v>76</v>
      </c>
      <c r="G141" s="274">
        <v>0</v>
      </c>
      <c r="H141" s="256">
        <v>3000</v>
      </c>
      <c r="I141" s="256">
        <f>'[4]Plnenie výdavkov'!$I$231</f>
        <v>150</v>
      </c>
      <c r="J141" s="256">
        <v>1500</v>
      </c>
      <c r="K141" s="256">
        <v>0</v>
      </c>
      <c r="L141" s="249">
        <v>1000</v>
      </c>
      <c r="M141" s="278">
        <v>1000</v>
      </c>
      <c r="N141" s="279">
        <v>1000</v>
      </c>
    </row>
    <row r="142" spans="3:14" x14ac:dyDescent="0.3">
      <c r="C142" s="245"/>
      <c r="D142" s="246"/>
      <c r="E142" s="263" t="s">
        <v>24</v>
      </c>
      <c r="F142" s="264"/>
      <c r="G142" s="265">
        <f t="shared" ref="G142" si="18">SUM(G136:G141)</f>
        <v>8004.1399999999994</v>
      </c>
      <c r="H142" s="266">
        <f>SUM(H135:H141)</f>
        <v>19350</v>
      </c>
      <c r="I142" s="266">
        <f>SUM(I135:I141)</f>
        <v>11930.460000000001</v>
      </c>
      <c r="J142" s="266">
        <f>SUM(J135:J141)</f>
        <v>24594</v>
      </c>
      <c r="K142" s="266">
        <f>SUM(K135:K141)</f>
        <v>19250</v>
      </c>
      <c r="L142" s="266">
        <f t="shared" ref="L142:M142" si="19">SUM(L135:L141)</f>
        <v>25368</v>
      </c>
      <c r="M142" s="277">
        <f t="shared" si="19"/>
        <v>25368</v>
      </c>
      <c r="N142" s="267">
        <f>SUM(N135:N141)</f>
        <v>25368</v>
      </c>
    </row>
    <row r="143" spans="3:14" x14ac:dyDescent="0.3">
      <c r="C143" s="245"/>
      <c r="D143" s="246"/>
      <c r="E143" s="258"/>
      <c r="F143" s="248"/>
      <c r="G143" s="249"/>
      <c r="H143" s="250"/>
      <c r="I143" s="250"/>
      <c r="J143" s="250"/>
      <c r="K143" s="250"/>
      <c r="L143" s="251"/>
      <c r="M143" s="252"/>
      <c r="N143" s="253"/>
    </row>
    <row r="144" spans="3:14" x14ac:dyDescent="0.3">
      <c r="C144" s="245"/>
      <c r="D144" s="269" t="s">
        <v>119</v>
      </c>
      <c r="E144" s="247" t="s">
        <v>54</v>
      </c>
      <c r="F144" s="248"/>
      <c r="G144" s="249"/>
      <c r="H144" s="250"/>
      <c r="I144" s="250"/>
      <c r="J144" s="250"/>
      <c r="K144" s="250"/>
      <c r="L144" s="251"/>
      <c r="M144" s="252"/>
      <c r="N144" s="253"/>
    </row>
    <row r="145" spans="3:14" x14ac:dyDescent="0.3">
      <c r="C145" s="245" t="s">
        <v>100</v>
      </c>
      <c r="D145" s="246"/>
      <c r="E145" s="258"/>
      <c r="F145" s="248" t="s">
        <v>42</v>
      </c>
      <c r="G145" s="249">
        <v>0</v>
      </c>
      <c r="H145" s="250">
        <v>0</v>
      </c>
      <c r="I145" s="250">
        <v>0</v>
      </c>
      <c r="J145" s="250">
        <v>0</v>
      </c>
      <c r="K145" s="250">
        <v>0</v>
      </c>
      <c r="L145" s="251">
        <v>0</v>
      </c>
      <c r="M145" s="252">
        <v>0</v>
      </c>
      <c r="N145" s="257">
        <v>0</v>
      </c>
    </row>
    <row r="146" spans="3:14" x14ac:dyDescent="0.3">
      <c r="C146" s="245" t="s">
        <v>101</v>
      </c>
      <c r="D146" s="246"/>
      <c r="E146" s="258"/>
      <c r="F146" s="248" t="s">
        <v>35</v>
      </c>
      <c r="G146" s="249">
        <v>140.94999999999999</v>
      </c>
      <c r="H146" s="250">
        <v>0</v>
      </c>
      <c r="I146" s="250">
        <v>0</v>
      </c>
      <c r="J146" s="250">
        <v>0</v>
      </c>
      <c r="K146" s="250">
        <v>0</v>
      </c>
      <c r="L146" s="251">
        <v>0</v>
      </c>
      <c r="M146" s="252">
        <v>0</v>
      </c>
      <c r="N146" s="257">
        <v>0</v>
      </c>
    </row>
    <row r="147" spans="3:14" x14ac:dyDescent="0.3">
      <c r="C147" s="245" t="s">
        <v>103</v>
      </c>
      <c r="D147" s="246"/>
      <c r="E147" s="258"/>
      <c r="F147" s="248" t="s">
        <v>39</v>
      </c>
      <c r="G147" s="249">
        <v>0</v>
      </c>
      <c r="H147" s="250">
        <v>1000</v>
      </c>
      <c r="I147" s="250">
        <v>912</v>
      </c>
      <c r="J147" s="250">
        <v>1000</v>
      </c>
      <c r="K147" s="250">
        <v>1000</v>
      </c>
      <c r="L147" s="251">
        <v>1000</v>
      </c>
      <c r="M147" s="252">
        <v>1000</v>
      </c>
      <c r="N147" s="257">
        <v>1000</v>
      </c>
    </row>
    <row r="148" spans="3:14" x14ac:dyDescent="0.3">
      <c r="C148" s="245" t="s">
        <v>104</v>
      </c>
      <c r="D148" s="246"/>
      <c r="E148" s="258"/>
      <c r="F148" s="248" t="s">
        <v>36</v>
      </c>
      <c r="G148" s="249">
        <v>0</v>
      </c>
      <c r="H148" s="250">
        <v>500</v>
      </c>
      <c r="I148" s="250">
        <v>0</v>
      </c>
      <c r="J148" s="250">
        <v>500</v>
      </c>
      <c r="K148" s="250">
        <v>500</v>
      </c>
      <c r="L148" s="251">
        <v>500</v>
      </c>
      <c r="M148" s="252">
        <v>500</v>
      </c>
      <c r="N148" s="257">
        <v>500</v>
      </c>
    </row>
    <row r="149" spans="3:14" x14ac:dyDescent="0.3">
      <c r="C149" s="245"/>
      <c r="D149" s="246"/>
      <c r="E149" s="263" t="s">
        <v>24</v>
      </c>
      <c r="F149" s="264"/>
      <c r="G149" s="265">
        <f t="shared" ref="G149:H149" si="20">SUM(G145:G148)</f>
        <v>140.94999999999999</v>
      </c>
      <c r="H149" s="266">
        <f t="shared" si="20"/>
        <v>1500</v>
      </c>
      <c r="I149" s="266">
        <v>912</v>
      </c>
      <c r="J149" s="266">
        <f t="shared" ref="J149" si="21">SUM(J145:J148)</f>
        <v>1500</v>
      </c>
      <c r="K149" s="266">
        <f>SUM(K147:K148)</f>
        <v>1500</v>
      </c>
      <c r="L149" s="266">
        <f t="shared" ref="L149:M149" si="22">SUM(L145:L148)</f>
        <v>1500</v>
      </c>
      <c r="M149" s="277">
        <f t="shared" si="22"/>
        <v>1500</v>
      </c>
      <c r="N149" s="267">
        <f>SUM(N147:N148)</f>
        <v>1500</v>
      </c>
    </row>
    <row r="150" spans="3:14" x14ac:dyDescent="0.3">
      <c r="C150" s="245"/>
      <c r="D150" s="246"/>
      <c r="E150" s="258"/>
      <c r="F150" s="248"/>
      <c r="G150" s="249"/>
      <c r="H150" s="250"/>
      <c r="I150" s="250"/>
      <c r="J150" s="250"/>
      <c r="K150" s="250"/>
      <c r="L150" s="251"/>
      <c r="M150" s="252"/>
      <c r="N150" s="253"/>
    </row>
    <row r="151" spans="3:14" x14ac:dyDescent="0.3">
      <c r="C151" s="245"/>
      <c r="D151" s="269" t="s">
        <v>120</v>
      </c>
      <c r="E151" s="247" t="s">
        <v>55</v>
      </c>
      <c r="F151" s="248"/>
      <c r="G151" s="249"/>
      <c r="H151" s="250"/>
      <c r="I151" s="250"/>
      <c r="J151" s="250"/>
      <c r="K151" s="250"/>
      <c r="L151" s="251"/>
      <c r="M151" s="252"/>
      <c r="N151" s="253"/>
    </row>
    <row r="152" spans="3:14" x14ac:dyDescent="0.3">
      <c r="C152" s="245" t="s">
        <v>97</v>
      </c>
      <c r="D152" s="246"/>
      <c r="E152" s="258"/>
      <c r="F152" s="255" t="s">
        <v>33</v>
      </c>
      <c r="G152" s="274">
        <v>0</v>
      </c>
      <c r="H152" s="256">
        <v>1200</v>
      </c>
      <c r="I152" s="256">
        <f>'[4]Plnenie výdavkov'!$I$236</f>
        <v>0</v>
      </c>
      <c r="J152" s="256">
        <v>0</v>
      </c>
      <c r="K152" s="256">
        <v>0</v>
      </c>
      <c r="L152" s="251">
        <v>0</v>
      </c>
      <c r="M152" s="252">
        <v>0</v>
      </c>
      <c r="N152" s="257">
        <v>0</v>
      </c>
    </row>
    <row r="153" spans="3:14" x14ac:dyDescent="0.3">
      <c r="C153" s="245" t="s">
        <v>98</v>
      </c>
      <c r="D153" s="246"/>
      <c r="E153" s="258"/>
      <c r="F153" s="248" t="s">
        <v>34</v>
      </c>
      <c r="G153" s="274">
        <v>0</v>
      </c>
      <c r="H153" s="256">
        <v>271</v>
      </c>
      <c r="I153" s="256">
        <f>'[4]Plnenie výdavkov'!$I$241</f>
        <v>248.05</v>
      </c>
      <c r="J153" s="256">
        <v>271</v>
      </c>
      <c r="K153" s="256">
        <v>290</v>
      </c>
      <c r="L153" s="251">
        <v>300</v>
      </c>
      <c r="M153" s="252">
        <v>300</v>
      </c>
      <c r="N153" s="257">
        <v>300</v>
      </c>
    </row>
    <row r="154" spans="3:14" x14ac:dyDescent="0.3">
      <c r="C154" s="245" t="s">
        <v>100</v>
      </c>
      <c r="D154" s="246"/>
      <c r="E154" s="258"/>
      <c r="F154" s="248" t="s">
        <v>42</v>
      </c>
      <c r="G154" s="274">
        <f>51.35</f>
        <v>51.35</v>
      </c>
      <c r="H154" s="256">
        <v>800</v>
      </c>
      <c r="I154" s="256">
        <f>'[4]Plnenie výdavkov'!$I$244</f>
        <v>168.77</v>
      </c>
      <c r="J154" s="256">
        <f>[3]výdavky!$K$201</f>
        <v>850</v>
      </c>
      <c r="K154" s="256">
        <v>600</v>
      </c>
      <c r="L154" s="251">
        <v>1000</v>
      </c>
      <c r="M154" s="252">
        <v>1000</v>
      </c>
      <c r="N154" s="257">
        <v>1000</v>
      </c>
    </row>
    <row r="155" spans="3:14" x14ac:dyDescent="0.3">
      <c r="C155" s="245" t="s">
        <v>101</v>
      </c>
      <c r="D155" s="246"/>
      <c r="E155" s="258"/>
      <c r="F155" s="248" t="s">
        <v>35</v>
      </c>
      <c r="G155" s="274">
        <v>351.2</v>
      </c>
      <c r="H155" s="256">
        <v>2500</v>
      </c>
      <c r="I155" s="256">
        <v>1094.83</v>
      </c>
      <c r="J155" s="256">
        <f>[3]výdavky!$K$204</f>
        <v>2600</v>
      </c>
      <c r="K155" s="256">
        <v>2200</v>
      </c>
      <c r="L155" s="260">
        <v>2800</v>
      </c>
      <c r="M155" s="276">
        <v>2800</v>
      </c>
      <c r="N155" s="257">
        <v>2800</v>
      </c>
    </row>
    <row r="156" spans="3:14" x14ac:dyDescent="0.3">
      <c r="C156" s="245" t="s">
        <v>103</v>
      </c>
      <c r="D156" s="246"/>
      <c r="E156" s="258"/>
      <c r="F156" s="248" t="s">
        <v>39</v>
      </c>
      <c r="G156" s="274">
        <f>50+103</f>
        <v>153</v>
      </c>
      <c r="H156" s="256">
        <v>2240</v>
      </c>
      <c r="I156" s="256">
        <f>'[4]Plnenie výdavkov'!$I$249</f>
        <v>2200</v>
      </c>
      <c r="J156" s="256">
        <f>[3]výdavky!$K$207</f>
        <v>2700</v>
      </c>
      <c r="K156" s="256">
        <v>3200</v>
      </c>
      <c r="L156" s="274">
        <v>3400</v>
      </c>
      <c r="M156" s="284">
        <v>3400</v>
      </c>
      <c r="N156" s="279">
        <v>3400</v>
      </c>
    </row>
    <row r="157" spans="3:14" x14ac:dyDescent="0.3">
      <c r="C157" s="245" t="s">
        <v>104</v>
      </c>
      <c r="D157" s="246"/>
      <c r="E157" s="258"/>
      <c r="F157" s="248" t="s">
        <v>36</v>
      </c>
      <c r="G157" s="274">
        <v>0</v>
      </c>
      <c r="H157" s="256">
        <v>1500</v>
      </c>
      <c r="I157" s="256">
        <f>'[4]Plnenie výdavkov'!$I$252</f>
        <v>1848.06</v>
      </c>
      <c r="J157" s="256">
        <f>[3]výdavky!$K$210</f>
        <v>2200</v>
      </c>
      <c r="K157" s="256">
        <v>1500</v>
      </c>
      <c r="L157" s="260">
        <v>2500</v>
      </c>
      <c r="M157" s="276">
        <v>2500</v>
      </c>
      <c r="N157" s="257">
        <v>2500</v>
      </c>
    </row>
    <row r="158" spans="3:14" ht="27.6" x14ac:dyDescent="0.3">
      <c r="C158" s="245" t="s">
        <v>105</v>
      </c>
      <c r="D158" s="246"/>
      <c r="E158" s="258"/>
      <c r="F158" s="255" t="s">
        <v>76</v>
      </c>
      <c r="G158" s="274">
        <v>0</v>
      </c>
      <c r="H158" s="256">
        <v>0</v>
      </c>
      <c r="I158" s="256">
        <v>0</v>
      </c>
      <c r="J158" s="256">
        <v>0</v>
      </c>
      <c r="K158" s="256">
        <v>0</v>
      </c>
      <c r="L158" s="260">
        <v>0</v>
      </c>
      <c r="M158" s="276">
        <v>0</v>
      </c>
      <c r="N158" s="257">
        <v>0</v>
      </c>
    </row>
    <row r="159" spans="3:14" s="63" customFormat="1" x14ac:dyDescent="0.3">
      <c r="C159" s="245"/>
      <c r="D159" s="246">
        <v>111</v>
      </c>
      <c r="E159" s="258"/>
      <c r="F159" s="255" t="s">
        <v>200</v>
      </c>
      <c r="G159" s="274">
        <v>0</v>
      </c>
      <c r="H159" s="256">
        <v>0</v>
      </c>
      <c r="I159" s="256">
        <v>2032.35</v>
      </c>
      <c r="J159" s="256">
        <v>0</v>
      </c>
      <c r="K159" s="256">
        <v>0</v>
      </c>
      <c r="L159" s="260">
        <v>0</v>
      </c>
      <c r="M159" s="276">
        <v>0</v>
      </c>
      <c r="N159" s="257">
        <v>0</v>
      </c>
    </row>
    <row r="160" spans="3:14" x14ac:dyDescent="0.3">
      <c r="C160" s="245"/>
      <c r="D160" s="246"/>
      <c r="E160" s="263" t="s">
        <v>24</v>
      </c>
      <c r="F160" s="264"/>
      <c r="G160" s="265">
        <f>SUM(G154:G158)</f>
        <v>555.54999999999995</v>
      </c>
      <c r="H160" s="266">
        <f>SUM(H152:H159)</f>
        <v>8511</v>
      </c>
      <c r="I160" s="266">
        <f>SUM(I152:I159)</f>
        <v>7592.0599999999995</v>
      </c>
      <c r="J160" s="266">
        <f>SUM(J152:J158)</f>
        <v>8621</v>
      </c>
      <c r="K160" s="266">
        <f>SUM(K153:K159)</f>
        <v>7790</v>
      </c>
      <c r="L160" s="266">
        <f>SUM(L152:L159)</f>
        <v>10000</v>
      </c>
      <c r="M160" s="277">
        <f>SUM(M152:M159)</f>
        <v>10000</v>
      </c>
      <c r="N160" s="267">
        <f>SUM(N152:N159)</f>
        <v>10000</v>
      </c>
    </row>
    <row r="161" spans="3:14" x14ac:dyDescent="0.3">
      <c r="C161" s="245"/>
      <c r="D161" s="246"/>
      <c r="E161" s="258"/>
      <c r="F161" s="248"/>
      <c r="G161" s="249"/>
      <c r="H161" s="250"/>
      <c r="I161" s="250"/>
      <c r="J161" s="250"/>
      <c r="K161" s="250"/>
      <c r="L161" s="251"/>
      <c r="M161" s="252"/>
      <c r="N161" s="253"/>
    </row>
    <row r="162" spans="3:14" x14ac:dyDescent="0.3">
      <c r="C162" s="245"/>
      <c r="D162" s="269" t="s">
        <v>121</v>
      </c>
      <c r="E162" s="247" t="s">
        <v>56</v>
      </c>
      <c r="F162" s="248"/>
      <c r="G162" s="249"/>
      <c r="H162" s="250"/>
      <c r="I162" s="250"/>
      <c r="J162" s="250"/>
      <c r="K162" s="250"/>
      <c r="L162" s="251"/>
      <c r="M162" s="252"/>
      <c r="N162" s="253"/>
    </row>
    <row r="163" spans="3:14" x14ac:dyDescent="0.3">
      <c r="C163" s="245" t="s">
        <v>101</v>
      </c>
      <c r="D163" s="246"/>
      <c r="E163" s="258"/>
      <c r="F163" s="248" t="s">
        <v>73</v>
      </c>
      <c r="G163" s="249">
        <v>0</v>
      </c>
      <c r="H163" s="250">
        <v>0</v>
      </c>
      <c r="I163" s="250">
        <v>0</v>
      </c>
      <c r="J163" s="250">
        <v>0</v>
      </c>
      <c r="K163" s="250">
        <v>0</v>
      </c>
      <c r="L163" s="251">
        <v>0</v>
      </c>
      <c r="M163" s="252">
        <v>0</v>
      </c>
      <c r="N163" s="257">
        <v>0</v>
      </c>
    </row>
    <row r="164" spans="3:14" x14ac:dyDescent="0.3">
      <c r="C164" s="245" t="s">
        <v>104</v>
      </c>
      <c r="D164" s="246"/>
      <c r="E164" s="258"/>
      <c r="F164" s="248" t="s">
        <v>36</v>
      </c>
      <c r="G164" s="274">
        <v>0</v>
      </c>
      <c r="H164" s="256">
        <v>0</v>
      </c>
      <c r="I164" s="256">
        <v>0</v>
      </c>
      <c r="J164" s="256">
        <v>0</v>
      </c>
      <c r="K164" s="256">
        <v>0</v>
      </c>
      <c r="L164" s="251">
        <v>0</v>
      </c>
      <c r="M164" s="252">
        <v>0</v>
      </c>
      <c r="N164" s="257">
        <v>0</v>
      </c>
    </row>
    <row r="165" spans="3:14" ht="27.6" x14ac:dyDescent="0.3">
      <c r="C165" s="245" t="s">
        <v>105</v>
      </c>
      <c r="D165" s="246"/>
      <c r="E165" s="258"/>
      <c r="F165" s="255" t="s">
        <v>76</v>
      </c>
      <c r="G165" s="249">
        <v>0</v>
      </c>
      <c r="H165" s="250">
        <v>0</v>
      </c>
      <c r="I165" s="250">
        <v>0</v>
      </c>
      <c r="J165" s="250">
        <v>0</v>
      </c>
      <c r="K165" s="250">
        <v>0</v>
      </c>
      <c r="L165" s="251">
        <v>0</v>
      </c>
      <c r="M165" s="252">
        <v>0</v>
      </c>
      <c r="N165" s="257">
        <v>0</v>
      </c>
    </row>
    <row r="166" spans="3:14" x14ac:dyDescent="0.3">
      <c r="C166" s="245"/>
      <c r="D166" s="246"/>
      <c r="E166" s="263" t="s">
        <v>24</v>
      </c>
      <c r="F166" s="264"/>
      <c r="G166" s="265">
        <f t="shared" ref="G166:H166" si="23">SUM(G163:G165)</f>
        <v>0</v>
      </c>
      <c r="H166" s="266">
        <f t="shared" si="23"/>
        <v>0</v>
      </c>
      <c r="I166" s="266">
        <v>0</v>
      </c>
      <c r="J166" s="266">
        <v>0</v>
      </c>
      <c r="K166" s="266">
        <v>0</v>
      </c>
      <c r="L166" s="266">
        <f t="shared" ref="L166:M166" si="24">SUM(L163:L165)</f>
        <v>0</v>
      </c>
      <c r="M166" s="277">
        <f t="shared" si="24"/>
        <v>0</v>
      </c>
      <c r="N166" s="267">
        <v>0</v>
      </c>
    </row>
    <row r="167" spans="3:14" x14ac:dyDescent="0.3">
      <c r="C167" s="245"/>
      <c r="D167" s="246"/>
      <c r="E167" s="258"/>
      <c r="F167" s="248"/>
      <c r="G167" s="249"/>
      <c r="H167" s="250"/>
      <c r="I167" s="250"/>
      <c r="J167" s="250"/>
      <c r="K167" s="250"/>
      <c r="L167" s="251"/>
      <c r="M167" s="252"/>
      <c r="N167" s="253"/>
    </row>
    <row r="168" spans="3:14" x14ac:dyDescent="0.3">
      <c r="C168" s="245"/>
      <c r="D168" s="269" t="s">
        <v>122</v>
      </c>
      <c r="E168" s="247" t="s">
        <v>57</v>
      </c>
      <c r="F168" s="248"/>
      <c r="G168" s="249"/>
      <c r="H168" s="250"/>
      <c r="I168" s="250"/>
      <c r="J168" s="250"/>
      <c r="K168" s="250"/>
      <c r="L168" s="251"/>
      <c r="M168" s="252"/>
      <c r="N168" s="253"/>
    </row>
    <row r="169" spans="3:14" x14ac:dyDescent="0.3">
      <c r="C169" s="245" t="s">
        <v>97</v>
      </c>
      <c r="D169" s="246"/>
      <c r="E169" s="258"/>
      <c r="F169" s="255" t="s">
        <v>33</v>
      </c>
      <c r="G169" s="274">
        <v>800</v>
      </c>
      <c r="H169" s="256">
        <v>12000</v>
      </c>
      <c r="I169" s="256">
        <f>'[4]Plnenie výdavkov'!$I$254</f>
        <v>300</v>
      </c>
      <c r="J169" s="256">
        <f>[3]výdavky!$K$212</f>
        <v>12000</v>
      </c>
      <c r="K169" s="256">
        <v>0</v>
      </c>
      <c r="L169" s="251">
        <v>12000</v>
      </c>
      <c r="M169" s="252">
        <v>12000</v>
      </c>
      <c r="N169" s="257">
        <v>12000</v>
      </c>
    </row>
    <row r="170" spans="3:14" x14ac:dyDescent="0.3">
      <c r="C170" s="245" t="s">
        <v>98</v>
      </c>
      <c r="D170" s="246"/>
      <c r="E170" s="258"/>
      <c r="F170" s="248" t="s">
        <v>34</v>
      </c>
      <c r="G170" s="274">
        <f>80+9.8+111.02+5.6+21.02+7+33.6</f>
        <v>268.04000000000002</v>
      </c>
      <c r="H170" s="256">
        <v>4894</v>
      </c>
      <c r="I170" s="256">
        <f>'[4]Plnenie výdavkov'!$I$263</f>
        <v>103.35000000000001</v>
      </c>
      <c r="J170" s="256">
        <v>5014</v>
      </c>
      <c r="K170" s="256">
        <v>0</v>
      </c>
      <c r="L170" s="260">
        <v>4314</v>
      </c>
      <c r="M170" s="276">
        <v>4314</v>
      </c>
      <c r="N170" s="257">
        <v>4314</v>
      </c>
    </row>
    <row r="171" spans="3:14" s="63" customFormat="1" x14ac:dyDescent="0.3">
      <c r="C171" s="245" t="s">
        <v>101</v>
      </c>
      <c r="D171" s="246"/>
      <c r="E171" s="258"/>
      <c r="F171" s="248" t="s">
        <v>35</v>
      </c>
      <c r="G171" s="274">
        <v>0</v>
      </c>
      <c r="H171" s="256"/>
      <c r="I171" s="256">
        <v>1039.8499999999999</v>
      </c>
      <c r="J171" s="256">
        <v>0</v>
      </c>
      <c r="K171" s="256">
        <v>0</v>
      </c>
      <c r="L171" s="260">
        <v>0</v>
      </c>
      <c r="M171" s="276">
        <v>0</v>
      </c>
      <c r="N171" s="257">
        <v>0</v>
      </c>
    </row>
    <row r="172" spans="3:14" x14ac:dyDescent="0.3">
      <c r="C172" s="245" t="s">
        <v>104</v>
      </c>
      <c r="D172" s="246"/>
      <c r="E172" s="258"/>
      <c r="F172" s="248" t="s">
        <v>36</v>
      </c>
      <c r="G172" s="274">
        <v>0</v>
      </c>
      <c r="H172" s="256">
        <v>0</v>
      </c>
      <c r="I172" s="256">
        <v>360</v>
      </c>
      <c r="J172" s="256">
        <v>0</v>
      </c>
      <c r="K172" s="256">
        <v>0</v>
      </c>
      <c r="L172" s="251">
        <v>0</v>
      </c>
      <c r="M172" s="252">
        <v>0</v>
      </c>
      <c r="N172" s="257">
        <v>0</v>
      </c>
    </row>
    <row r="173" spans="3:14" ht="27.6" x14ac:dyDescent="0.3">
      <c r="C173" s="245" t="s">
        <v>105</v>
      </c>
      <c r="D173" s="246"/>
      <c r="E173" s="258"/>
      <c r="F173" s="255" t="s">
        <v>76</v>
      </c>
      <c r="G173" s="274">
        <v>0</v>
      </c>
      <c r="H173" s="256">
        <v>2000</v>
      </c>
      <c r="I173" s="256">
        <v>0</v>
      </c>
      <c r="J173" s="256">
        <v>500</v>
      </c>
      <c r="K173" s="256">
        <v>500</v>
      </c>
      <c r="L173" s="251">
        <v>500</v>
      </c>
      <c r="M173" s="252">
        <v>500</v>
      </c>
      <c r="N173" s="257">
        <v>500</v>
      </c>
    </row>
    <row r="174" spans="3:14" s="63" customFormat="1" x14ac:dyDescent="0.3">
      <c r="C174" s="245"/>
      <c r="D174" s="289" t="s">
        <v>150</v>
      </c>
      <c r="E174" s="258"/>
      <c r="F174" s="255" t="s">
        <v>193</v>
      </c>
      <c r="G174" s="251">
        <v>0</v>
      </c>
      <c r="H174" s="251">
        <v>0</v>
      </c>
      <c r="I174" s="256">
        <v>5625</v>
      </c>
      <c r="J174" s="256">
        <v>0</v>
      </c>
      <c r="K174" s="256">
        <v>2400</v>
      </c>
      <c r="L174" s="251">
        <v>0</v>
      </c>
      <c r="M174" s="252">
        <v>0</v>
      </c>
      <c r="N174" s="257">
        <v>0</v>
      </c>
    </row>
    <row r="175" spans="3:14" s="63" customFormat="1" x14ac:dyDescent="0.3">
      <c r="C175" s="245"/>
      <c r="D175" s="246">
        <v>111</v>
      </c>
      <c r="E175" s="258"/>
      <c r="F175" s="255" t="s">
        <v>200</v>
      </c>
      <c r="G175" s="251">
        <v>0</v>
      </c>
      <c r="H175" s="251">
        <v>0</v>
      </c>
      <c r="I175" s="256">
        <v>291.47000000000003</v>
      </c>
      <c r="J175" s="256">
        <v>0</v>
      </c>
      <c r="K175" s="256">
        <v>0</v>
      </c>
      <c r="L175" s="251">
        <v>0</v>
      </c>
      <c r="M175" s="252">
        <v>0</v>
      </c>
      <c r="N175" s="257">
        <v>0</v>
      </c>
    </row>
    <row r="176" spans="3:14" x14ac:dyDescent="0.3">
      <c r="C176" s="245"/>
      <c r="D176" s="246"/>
      <c r="E176" s="263" t="s">
        <v>24</v>
      </c>
      <c r="F176" s="264"/>
      <c r="G176" s="265">
        <f>SUM(G169:G173)</f>
        <v>1068.04</v>
      </c>
      <c r="H176" s="266">
        <f>SUM(H169:H173)</f>
        <v>18894</v>
      </c>
      <c r="I176" s="266">
        <f>SUM(I169:I175)</f>
        <v>7719.67</v>
      </c>
      <c r="J176" s="266">
        <f>SUM(J169:J173)</f>
        <v>17514</v>
      </c>
      <c r="K176" s="266">
        <f>SUM(K169:K175)</f>
        <v>2900</v>
      </c>
      <c r="L176" s="266">
        <f>SUM(L169:L175)</f>
        <v>16814</v>
      </c>
      <c r="M176" s="277">
        <f>SUM(M169:M175)</f>
        <v>16814</v>
      </c>
      <c r="N176" s="267">
        <f>SUM(N169:N175)</f>
        <v>16814</v>
      </c>
    </row>
    <row r="177" spans="3:14" x14ac:dyDescent="0.3">
      <c r="C177" s="245"/>
      <c r="D177" s="246"/>
      <c r="E177" s="247"/>
      <c r="F177" s="248"/>
      <c r="G177" s="249"/>
      <c r="H177" s="250"/>
      <c r="I177" s="250"/>
      <c r="J177" s="250"/>
      <c r="K177" s="250"/>
      <c r="L177" s="251"/>
      <c r="M177" s="252"/>
      <c r="N177" s="253"/>
    </row>
    <row r="178" spans="3:14" x14ac:dyDescent="0.3">
      <c r="C178" s="245"/>
      <c r="D178" s="246"/>
      <c r="E178" s="247" t="s">
        <v>75</v>
      </c>
      <c r="F178" s="248"/>
      <c r="G178" s="249"/>
      <c r="H178" s="250"/>
      <c r="I178" s="250"/>
      <c r="J178" s="250"/>
      <c r="K178" s="250"/>
      <c r="L178" s="251"/>
      <c r="M178" s="252"/>
      <c r="N178" s="253"/>
    </row>
    <row r="179" spans="3:14" x14ac:dyDescent="0.3">
      <c r="C179" s="245" t="s">
        <v>103</v>
      </c>
      <c r="D179" s="246"/>
      <c r="E179" s="247"/>
      <c r="F179" s="248" t="s">
        <v>39</v>
      </c>
      <c r="G179" s="249">
        <v>0</v>
      </c>
      <c r="H179" s="250">
        <v>500</v>
      </c>
      <c r="I179" s="250">
        <v>0</v>
      </c>
      <c r="J179" s="250">
        <v>500</v>
      </c>
      <c r="K179" s="250">
        <v>0</v>
      </c>
      <c r="L179" s="251">
        <v>500</v>
      </c>
      <c r="M179" s="252">
        <v>500</v>
      </c>
      <c r="N179" s="257">
        <v>500</v>
      </c>
    </row>
    <row r="180" spans="3:14" x14ac:dyDescent="0.3">
      <c r="C180" s="245" t="s">
        <v>104</v>
      </c>
      <c r="D180" s="246"/>
      <c r="E180" s="247"/>
      <c r="F180" s="248" t="s">
        <v>36</v>
      </c>
      <c r="G180" s="249">
        <v>0</v>
      </c>
      <c r="H180" s="250">
        <v>500</v>
      </c>
      <c r="I180" s="250">
        <v>0</v>
      </c>
      <c r="J180" s="250">
        <v>500</v>
      </c>
      <c r="K180" s="250">
        <v>0</v>
      </c>
      <c r="L180" s="251">
        <v>500</v>
      </c>
      <c r="M180" s="252">
        <v>500</v>
      </c>
      <c r="N180" s="257">
        <v>500</v>
      </c>
    </row>
    <row r="181" spans="3:14" ht="27.6" x14ac:dyDescent="0.3">
      <c r="C181" s="245" t="s">
        <v>105</v>
      </c>
      <c r="D181" s="246"/>
      <c r="E181" s="247"/>
      <c r="F181" s="255" t="s">
        <v>76</v>
      </c>
      <c r="G181" s="249">
        <v>0</v>
      </c>
      <c r="H181" s="250">
        <v>0</v>
      </c>
      <c r="I181" s="250">
        <v>0</v>
      </c>
      <c r="J181" s="250">
        <v>0</v>
      </c>
      <c r="K181" s="250"/>
      <c r="L181" s="251">
        <v>0</v>
      </c>
      <c r="M181" s="252">
        <v>0</v>
      </c>
      <c r="N181" s="257">
        <v>0</v>
      </c>
    </row>
    <row r="182" spans="3:14" ht="15" thickBot="1" x14ac:dyDescent="0.35">
      <c r="C182" s="245"/>
      <c r="D182" s="246"/>
      <c r="E182" s="263" t="s">
        <v>24</v>
      </c>
      <c r="F182" s="290"/>
      <c r="G182" s="265">
        <f>SUM(G179:G181)</f>
        <v>0</v>
      </c>
      <c r="H182" s="266">
        <f>SUM(H179:H181)</f>
        <v>1000</v>
      </c>
      <c r="I182" s="266">
        <v>0</v>
      </c>
      <c r="J182" s="266">
        <f>SUM(J179:J181)</f>
        <v>1000</v>
      </c>
      <c r="K182" s="266">
        <f>SUM(K178:K181)</f>
        <v>0</v>
      </c>
      <c r="L182" s="266">
        <f>SUM(L179:L181)</f>
        <v>1000</v>
      </c>
      <c r="M182" s="277">
        <f>SUM(M179:M181)</f>
        <v>1000</v>
      </c>
      <c r="N182" s="267">
        <f>SUM(N178:N181)</f>
        <v>1000</v>
      </c>
    </row>
    <row r="183" spans="3:14" ht="15" thickBot="1" x14ac:dyDescent="0.35">
      <c r="C183" s="245"/>
      <c r="D183" s="291" t="s">
        <v>24</v>
      </c>
      <c r="E183" s="292"/>
      <c r="F183" s="293"/>
      <c r="G183" s="294">
        <f>G16+G31+G38+G52+G57+G62+G72+G79+G90+G96+G115+G125+G132+G142+G149+G160+G166+G176+G182</f>
        <v>372174.41000000003</v>
      </c>
      <c r="H183" s="295">
        <f>H16+H31+H38+H52+H57+H62+H72+H79+H90+H96+H115+H125+H132+H142+H149+H160+H166+H176+H182</f>
        <v>415235</v>
      </c>
      <c r="I183" s="295">
        <f>I16+I31+I38+I52+I57+I62+I72+I79+I90+I96+I115+I125+I132+I142+I149+I160+I166+I176+I182+I105+I48</f>
        <v>346090.84999999992</v>
      </c>
      <c r="J183" s="295">
        <f>J16+J31+J38+J52+J57+J62+J72+J79+J90+J96+J115+J125+J132+J142+J149+J160+J166+J176+J182</f>
        <v>454531</v>
      </c>
      <c r="K183" s="295">
        <f>K182+K176+K166+K160+K149+K142+K132+K125+K115+K105+K96+K90+K79+K72+K62+K57+K52+K48+K38+K31+K16</f>
        <v>362425.95</v>
      </c>
      <c r="L183" s="295">
        <f>L182+L176+L166+L160+L149+L142+L132+L125+L115+L105+L100+L96+L90+L79+L72+L62+L57+L52+L38+L31+L16</f>
        <v>505213</v>
      </c>
      <c r="M183" s="295">
        <f>M182+M176+M166+M160+M149+M142+M132+M125+M115+M105+M100+M96+M90+M79+M72+M62+M57+M52+M38+M31+M16</f>
        <v>492813</v>
      </c>
      <c r="N183" s="295">
        <f>N182+N176+N166+N160+N149+N142+N132+N125+N115+N105+N100+N96+N90+N79+N72+N62+N57+N52+N38+N31+N16</f>
        <v>491813</v>
      </c>
    </row>
    <row r="184" spans="3:14" x14ac:dyDescent="0.3">
      <c r="C184" s="245"/>
      <c r="D184" s="246"/>
      <c r="E184" s="258"/>
      <c r="F184" s="248"/>
      <c r="G184" s="249"/>
      <c r="H184" s="250"/>
      <c r="I184" s="250"/>
      <c r="J184" s="250"/>
      <c r="K184" s="250"/>
      <c r="L184" s="251"/>
      <c r="M184" s="252"/>
      <c r="N184" s="253"/>
    </row>
    <row r="185" spans="3:14" x14ac:dyDescent="0.3">
      <c r="C185" s="245"/>
      <c r="D185" s="296" t="s">
        <v>26</v>
      </c>
      <c r="E185" s="258"/>
      <c r="F185" s="248"/>
      <c r="G185" s="249"/>
      <c r="H185" s="250"/>
      <c r="I185" s="250"/>
      <c r="J185" s="250"/>
      <c r="K185" s="250"/>
      <c r="L185" s="251"/>
      <c r="M185" s="276"/>
      <c r="N185" s="297"/>
    </row>
    <row r="186" spans="3:14" x14ac:dyDescent="0.3">
      <c r="C186" s="245" t="s">
        <v>148</v>
      </c>
      <c r="D186" s="269" t="s">
        <v>84</v>
      </c>
      <c r="E186" s="258"/>
      <c r="F186" s="248" t="s">
        <v>246</v>
      </c>
      <c r="G186" s="249">
        <v>0</v>
      </c>
      <c r="H186" s="256">
        <v>8725</v>
      </c>
      <c r="I186" s="256">
        <v>2459.5</v>
      </c>
      <c r="J186" s="256">
        <v>3000</v>
      </c>
      <c r="K186" s="256">
        <v>1616</v>
      </c>
      <c r="L186" s="260">
        <v>13000</v>
      </c>
      <c r="M186" s="276">
        <v>0</v>
      </c>
      <c r="N186" s="261">
        <v>0</v>
      </c>
    </row>
    <row r="187" spans="3:14" x14ac:dyDescent="0.3">
      <c r="C187" s="298">
        <v>717</v>
      </c>
      <c r="D187" s="269"/>
      <c r="E187" s="258"/>
      <c r="F187" s="248" t="s">
        <v>130</v>
      </c>
      <c r="G187" s="249">
        <v>0</v>
      </c>
      <c r="H187" s="256">
        <v>46000</v>
      </c>
      <c r="I187" s="256">
        <v>0</v>
      </c>
      <c r="J187" s="256">
        <v>25000</v>
      </c>
      <c r="K187" s="256">
        <f>10500+20972</f>
        <v>31472</v>
      </c>
      <c r="L187" s="260">
        <v>0</v>
      </c>
      <c r="M187" s="276">
        <v>0</v>
      </c>
      <c r="N187" s="261">
        <v>0</v>
      </c>
    </row>
    <row r="188" spans="3:14" s="63" customFormat="1" x14ac:dyDescent="0.3">
      <c r="C188" s="298">
        <v>716</v>
      </c>
      <c r="D188" s="269"/>
      <c r="E188" s="258"/>
      <c r="F188" s="248" t="s">
        <v>234</v>
      </c>
      <c r="G188" s="249">
        <v>0</v>
      </c>
      <c r="H188" s="256">
        <v>0</v>
      </c>
      <c r="I188" s="256">
        <v>0</v>
      </c>
      <c r="J188" s="256">
        <v>0</v>
      </c>
      <c r="K188" s="256">
        <v>15350.4</v>
      </c>
      <c r="L188" s="299">
        <v>0</v>
      </c>
      <c r="M188" s="276">
        <v>0</v>
      </c>
      <c r="N188" s="261">
        <v>0</v>
      </c>
    </row>
    <row r="189" spans="3:14" s="63" customFormat="1" x14ac:dyDescent="0.3">
      <c r="C189" s="298">
        <v>714</v>
      </c>
      <c r="D189" s="269"/>
      <c r="E189" s="258"/>
      <c r="F189" s="248" t="s">
        <v>238</v>
      </c>
      <c r="G189" s="249">
        <v>0</v>
      </c>
      <c r="H189" s="256">
        <v>0</v>
      </c>
      <c r="I189" s="256">
        <v>0</v>
      </c>
      <c r="J189" s="256">
        <v>0</v>
      </c>
      <c r="K189" s="256">
        <v>0</v>
      </c>
      <c r="L189" s="260">
        <v>20000</v>
      </c>
      <c r="M189" s="276">
        <v>0</v>
      </c>
      <c r="N189" s="261">
        <v>0</v>
      </c>
    </row>
    <row r="190" spans="3:14" x14ac:dyDescent="0.3">
      <c r="C190" s="298">
        <v>714</v>
      </c>
      <c r="D190" s="269"/>
      <c r="E190" s="258"/>
      <c r="F190" s="300" t="s">
        <v>221</v>
      </c>
      <c r="G190" s="249">
        <v>0</v>
      </c>
      <c r="H190" s="256">
        <v>20000</v>
      </c>
      <c r="I190" s="256">
        <v>0</v>
      </c>
      <c r="J190" s="256">
        <v>0</v>
      </c>
      <c r="K190" s="256">
        <v>0</v>
      </c>
      <c r="L190" s="260">
        <v>60000</v>
      </c>
      <c r="M190" s="276">
        <v>0</v>
      </c>
      <c r="N190" s="261">
        <v>0</v>
      </c>
    </row>
    <row r="191" spans="3:14" s="63" customFormat="1" x14ac:dyDescent="0.3">
      <c r="C191" s="298">
        <v>714</v>
      </c>
      <c r="D191" s="269"/>
      <c r="E191" s="258"/>
      <c r="F191" s="300" t="s">
        <v>228</v>
      </c>
      <c r="G191" s="249">
        <v>0</v>
      </c>
      <c r="H191" s="256">
        <v>0</v>
      </c>
      <c r="I191" s="256">
        <v>0</v>
      </c>
      <c r="J191" s="256">
        <v>0</v>
      </c>
      <c r="K191" s="256">
        <v>0</v>
      </c>
      <c r="L191" s="260">
        <v>6315</v>
      </c>
      <c r="M191" s="276">
        <v>0</v>
      </c>
      <c r="N191" s="261">
        <v>0</v>
      </c>
    </row>
    <row r="192" spans="3:14" s="63" customFormat="1" x14ac:dyDescent="0.3">
      <c r="C192" s="298">
        <v>714</v>
      </c>
      <c r="D192" s="269"/>
      <c r="E192" s="258"/>
      <c r="F192" s="300" t="s">
        <v>219</v>
      </c>
      <c r="G192" s="249">
        <v>0</v>
      </c>
      <c r="H192" s="256">
        <v>0</v>
      </c>
      <c r="I192" s="256">
        <v>0</v>
      </c>
      <c r="J192" s="256">
        <v>0</v>
      </c>
      <c r="K192" s="256">
        <v>0</v>
      </c>
      <c r="L192" s="260">
        <v>20000</v>
      </c>
      <c r="M192" s="276">
        <v>0</v>
      </c>
      <c r="N192" s="261">
        <v>0</v>
      </c>
    </row>
    <row r="193" spans="3:19" ht="14.4" customHeight="1" x14ac:dyDescent="0.3">
      <c r="C193" s="298">
        <v>717</v>
      </c>
      <c r="D193" s="269"/>
      <c r="E193" s="258"/>
      <c r="F193" s="255" t="s">
        <v>223</v>
      </c>
      <c r="G193" s="249">
        <v>56490.05</v>
      </c>
      <c r="H193" s="301">
        <v>27370</v>
      </c>
      <c r="I193" s="301">
        <v>0</v>
      </c>
      <c r="J193" s="301">
        <f>19792.75-3000+5500+3000-9970.75+2850-1924-2000-9946-3382+7500</f>
        <v>8420</v>
      </c>
      <c r="K193" s="301">
        <v>0</v>
      </c>
      <c r="L193" s="274">
        <v>0</v>
      </c>
      <c r="M193" s="276">
        <v>0</v>
      </c>
      <c r="N193" s="261">
        <v>0</v>
      </c>
      <c r="O193" s="134"/>
      <c r="P193" s="134"/>
      <c r="Q193" s="134"/>
      <c r="R193" s="134"/>
      <c r="S193" s="134"/>
    </row>
    <row r="194" spans="3:19" s="63" customFormat="1" ht="14.4" customHeight="1" x14ac:dyDescent="0.3">
      <c r="C194" s="298">
        <v>717</v>
      </c>
      <c r="D194" s="246" t="s">
        <v>186</v>
      </c>
      <c r="E194" s="258"/>
      <c r="F194" s="248" t="s">
        <v>174</v>
      </c>
      <c r="G194" s="249">
        <v>0</v>
      </c>
      <c r="H194" s="301">
        <v>0</v>
      </c>
      <c r="I194" s="301">
        <v>3850.24</v>
      </c>
      <c r="J194" s="301">
        <v>0</v>
      </c>
      <c r="K194" s="301">
        <v>0</v>
      </c>
      <c r="L194" s="274">
        <v>0</v>
      </c>
      <c r="M194" s="260">
        <v>0</v>
      </c>
      <c r="N194" s="260">
        <v>0</v>
      </c>
    </row>
    <row r="195" spans="3:19" s="63" customFormat="1" ht="14.4" customHeight="1" x14ac:dyDescent="0.3">
      <c r="C195" s="298">
        <v>717</v>
      </c>
      <c r="D195" s="246" t="s">
        <v>169</v>
      </c>
      <c r="E195" s="258"/>
      <c r="F195" s="302" t="s">
        <v>175</v>
      </c>
      <c r="G195" s="249">
        <v>0</v>
      </c>
      <c r="H195" s="301">
        <v>0</v>
      </c>
      <c r="I195" s="301">
        <v>13565.64</v>
      </c>
      <c r="J195" s="256">
        <v>0</v>
      </c>
      <c r="K195" s="256">
        <v>0</v>
      </c>
      <c r="L195" s="260">
        <v>0</v>
      </c>
      <c r="M195" s="260">
        <v>0</v>
      </c>
      <c r="N195" s="260">
        <v>0</v>
      </c>
    </row>
    <row r="196" spans="3:19" s="63" customFormat="1" ht="14.4" customHeight="1" x14ac:dyDescent="0.3">
      <c r="C196" s="298">
        <v>717</v>
      </c>
      <c r="D196" s="246"/>
      <c r="E196" s="258"/>
      <c r="F196" s="302" t="s">
        <v>233</v>
      </c>
      <c r="G196" s="249">
        <v>0</v>
      </c>
      <c r="H196" s="301">
        <v>0</v>
      </c>
      <c r="I196" s="301">
        <v>0</v>
      </c>
      <c r="J196" s="256">
        <v>0</v>
      </c>
      <c r="K196" s="256">
        <f>6500+4100+5029</f>
        <v>15629</v>
      </c>
      <c r="L196" s="260">
        <v>0</v>
      </c>
      <c r="M196" s="260">
        <v>0</v>
      </c>
      <c r="N196" s="260">
        <v>0</v>
      </c>
    </row>
    <row r="197" spans="3:19" s="63" customFormat="1" ht="14.4" customHeight="1" x14ac:dyDescent="0.3">
      <c r="C197" s="298">
        <v>711</v>
      </c>
      <c r="D197" s="246">
        <v>41</v>
      </c>
      <c r="E197" s="258"/>
      <c r="F197" s="248" t="s">
        <v>247</v>
      </c>
      <c r="G197" s="249">
        <v>0</v>
      </c>
      <c r="H197" s="301">
        <v>0</v>
      </c>
      <c r="I197" s="301">
        <f>'[4]Plnenie výdavkov'!$I$274</f>
        <v>13523.63</v>
      </c>
      <c r="J197" s="301">
        <v>0</v>
      </c>
      <c r="K197" s="301">
        <v>0</v>
      </c>
      <c r="L197" s="274">
        <v>80000</v>
      </c>
      <c r="M197" s="260">
        <v>0</v>
      </c>
      <c r="N197" s="260">
        <v>0</v>
      </c>
    </row>
    <row r="198" spans="3:19" s="63" customFormat="1" ht="14.4" customHeight="1" x14ac:dyDescent="0.3">
      <c r="C198" s="298">
        <v>711</v>
      </c>
      <c r="D198" s="246">
        <v>46</v>
      </c>
      <c r="E198" s="258"/>
      <c r="F198" s="248" t="s">
        <v>207</v>
      </c>
      <c r="G198" s="249">
        <v>0</v>
      </c>
      <c r="H198" s="301">
        <v>0</v>
      </c>
      <c r="I198" s="301">
        <f>'[4]Plnenie výdavkov'!$I$279</f>
        <v>7786.96</v>
      </c>
      <c r="J198" s="301">
        <v>0</v>
      </c>
      <c r="K198" s="301">
        <v>0</v>
      </c>
      <c r="L198" s="274">
        <v>0</v>
      </c>
      <c r="M198" s="276">
        <v>0</v>
      </c>
      <c r="N198" s="261">
        <v>0</v>
      </c>
    </row>
    <row r="199" spans="3:19" s="63" customFormat="1" ht="14.4" customHeight="1" x14ac:dyDescent="0.3">
      <c r="C199" s="298">
        <v>711</v>
      </c>
      <c r="D199" s="246"/>
      <c r="E199" s="258"/>
      <c r="F199" s="300" t="s">
        <v>187</v>
      </c>
      <c r="G199" s="249">
        <v>0</v>
      </c>
      <c r="H199" s="301">
        <v>0</v>
      </c>
      <c r="I199" s="301">
        <v>0</v>
      </c>
      <c r="J199" s="301">
        <v>8000</v>
      </c>
      <c r="K199" s="301">
        <v>18250</v>
      </c>
      <c r="L199" s="274">
        <f>2158+27078-8000</f>
        <v>21236</v>
      </c>
      <c r="M199" s="276">
        <v>27053</v>
      </c>
      <c r="N199" s="261">
        <v>38984</v>
      </c>
    </row>
    <row r="200" spans="3:19" s="63" customFormat="1" ht="14.4" customHeight="1" x14ac:dyDescent="0.3">
      <c r="C200" s="298">
        <v>717</v>
      </c>
      <c r="D200" s="303"/>
      <c r="E200" s="304"/>
      <c r="F200" s="300" t="s">
        <v>236</v>
      </c>
      <c r="G200" s="305">
        <v>0</v>
      </c>
      <c r="H200" s="306">
        <v>0</v>
      </c>
      <c r="I200" s="306">
        <v>0</v>
      </c>
      <c r="J200" s="306">
        <v>0</v>
      </c>
      <c r="K200" s="306">
        <v>21000</v>
      </c>
      <c r="L200" s="307">
        <v>0</v>
      </c>
      <c r="M200" s="276">
        <v>0</v>
      </c>
      <c r="N200" s="261">
        <v>0</v>
      </c>
    </row>
    <row r="201" spans="3:19" s="63" customFormat="1" ht="14.4" customHeight="1" x14ac:dyDescent="0.3">
      <c r="C201" s="298">
        <v>717</v>
      </c>
      <c r="D201" s="303"/>
      <c r="E201" s="304"/>
      <c r="F201" s="300" t="s">
        <v>235</v>
      </c>
      <c r="G201" s="305">
        <v>0</v>
      </c>
      <c r="H201" s="306">
        <v>0</v>
      </c>
      <c r="I201" s="306">
        <v>0</v>
      </c>
      <c r="J201" s="306">
        <v>0</v>
      </c>
      <c r="K201" s="306">
        <v>79869</v>
      </c>
      <c r="L201" s="307">
        <v>0</v>
      </c>
      <c r="M201" s="276">
        <v>0</v>
      </c>
      <c r="N201" s="261">
        <v>0</v>
      </c>
    </row>
    <row r="202" spans="3:19" s="63" customFormat="1" ht="14.4" customHeight="1" x14ac:dyDescent="0.3">
      <c r="C202" s="298">
        <v>717</v>
      </c>
      <c r="D202" s="303"/>
      <c r="E202" s="304"/>
      <c r="F202" s="300" t="s">
        <v>220</v>
      </c>
      <c r="G202" s="305">
        <v>0</v>
      </c>
      <c r="H202" s="306">
        <v>0</v>
      </c>
      <c r="I202" s="306">
        <v>0</v>
      </c>
      <c r="J202" s="306">
        <v>0</v>
      </c>
      <c r="K202" s="306">
        <v>400</v>
      </c>
      <c r="L202" s="307">
        <v>92754</v>
      </c>
      <c r="M202" s="276">
        <v>0</v>
      </c>
      <c r="N202" s="261">
        <v>0</v>
      </c>
    </row>
    <row r="203" spans="3:19" s="63" customFormat="1" ht="14.4" customHeight="1" x14ac:dyDescent="0.3">
      <c r="C203" s="298">
        <v>717</v>
      </c>
      <c r="D203" s="303"/>
      <c r="E203" s="304"/>
      <c r="F203" s="300" t="s">
        <v>222</v>
      </c>
      <c r="G203" s="305">
        <v>0</v>
      </c>
      <c r="H203" s="306">
        <v>0</v>
      </c>
      <c r="I203" s="306">
        <v>0</v>
      </c>
      <c r="J203" s="306">
        <v>0</v>
      </c>
      <c r="K203" s="306">
        <v>0</v>
      </c>
      <c r="L203" s="307">
        <v>823863</v>
      </c>
      <c r="M203" s="276">
        <v>0</v>
      </c>
      <c r="N203" s="261">
        <v>0</v>
      </c>
    </row>
    <row r="204" spans="3:19" s="63" customFormat="1" ht="14.4" customHeight="1" thickBot="1" x14ac:dyDescent="0.35">
      <c r="C204" s="298">
        <v>717</v>
      </c>
      <c r="D204" s="308">
        <v>46</v>
      </c>
      <c r="E204" s="309"/>
      <c r="F204" s="300" t="s">
        <v>208</v>
      </c>
      <c r="G204" s="310">
        <v>0</v>
      </c>
      <c r="H204" s="311">
        <v>0</v>
      </c>
      <c r="I204" s="311">
        <f>'[4]Plnenie výdavkov'!$I$281</f>
        <v>26162.03</v>
      </c>
      <c r="J204" s="311">
        <v>0</v>
      </c>
      <c r="K204" s="311">
        <v>0</v>
      </c>
      <c r="L204" s="312">
        <v>0</v>
      </c>
      <c r="M204" s="276">
        <v>0</v>
      </c>
      <c r="N204" s="261">
        <v>0</v>
      </c>
    </row>
    <row r="205" spans="3:19" ht="15" thickBot="1" x14ac:dyDescent="0.35">
      <c r="C205" s="245"/>
      <c r="D205" s="313" t="s">
        <v>24</v>
      </c>
      <c r="E205" s="314"/>
      <c r="F205" s="315"/>
      <c r="G205" s="294">
        <f>SUM(G187:G193)</f>
        <v>56490.05</v>
      </c>
      <c r="H205" s="295">
        <f>SUM(H186:H204)</f>
        <v>102095</v>
      </c>
      <c r="I205" s="295">
        <f>SUM(I185:I204)</f>
        <v>67348</v>
      </c>
      <c r="J205" s="295">
        <f>SUM(J184:J204)</f>
        <v>44420</v>
      </c>
      <c r="K205" s="295">
        <f>SUM(K184:K204)</f>
        <v>183586.4</v>
      </c>
      <c r="L205" s="316">
        <f>SUM(L185:L204)</f>
        <v>1137168</v>
      </c>
      <c r="M205" s="317">
        <f>SUM(M185:M204)</f>
        <v>27053</v>
      </c>
      <c r="N205" s="318">
        <f>N199</f>
        <v>38984</v>
      </c>
    </row>
    <row r="206" spans="3:19" x14ac:dyDescent="0.3">
      <c r="C206" s="245"/>
      <c r="D206" s="319"/>
      <c r="E206" s="239"/>
      <c r="F206" s="240"/>
      <c r="G206" s="320"/>
      <c r="H206" s="321"/>
      <c r="I206" s="321"/>
      <c r="J206" s="321"/>
      <c r="K206" s="321"/>
      <c r="L206" s="322"/>
      <c r="M206" s="323"/>
      <c r="N206" s="253"/>
    </row>
    <row r="207" spans="3:19" x14ac:dyDescent="0.3">
      <c r="C207" s="245"/>
      <c r="D207" s="246"/>
      <c r="E207" s="258"/>
      <c r="F207" s="248"/>
      <c r="G207" s="249"/>
      <c r="H207" s="250"/>
      <c r="I207" s="250"/>
      <c r="J207" s="250"/>
      <c r="K207" s="250"/>
      <c r="L207" s="251"/>
      <c r="M207" s="252"/>
      <c r="N207" s="253"/>
    </row>
    <row r="208" spans="3:19" x14ac:dyDescent="0.3">
      <c r="C208" s="245"/>
      <c r="D208" s="296" t="s">
        <v>218</v>
      </c>
      <c r="E208" s="258"/>
      <c r="F208" s="248"/>
      <c r="G208" s="249"/>
      <c r="H208" s="250"/>
      <c r="I208" s="250"/>
      <c r="J208" s="250"/>
      <c r="K208" s="250"/>
      <c r="L208" s="251"/>
      <c r="M208" s="252"/>
      <c r="N208" s="253"/>
    </row>
    <row r="209" spans="3:14" ht="15" thickBot="1" x14ac:dyDescent="0.35">
      <c r="C209" s="245" t="s">
        <v>123</v>
      </c>
      <c r="D209" s="324" t="s">
        <v>124</v>
      </c>
      <c r="E209" s="304"/>
      <c r="F209" s="325" t="s">
        <v>58</v>
      </c>
      <c r="G209" s="305">
        <v>140995</v>
      </c>
      <c r="H209" s="326">
        <v>141000</v>
      </c>
      <c r="I209" s="326">
        <v>142262.17000000001</v>
      </c>
      <c r="J209" s="326">
        <f>[3]výdavky!$K$232</f>
        <v>145000</v>
      </c>
      <c r="K209" s="326">
        <v>143000</v>
      </c>
      <c r="L209" s="327">
        <v>165224</v>
      </c>
      <c r="M209" s="328">
        <v>166224</v>
      </c>
      <c r="N209" s="261">
        <v>168224</v>
      </c>
    </row>
    <row r="210" spans="3:14" ht="15" thickBot="1" x14ac:dyDescent="0.35">
      <c r="C210" s="245"/>
      <c r="D210" s="329" t="s">
        <v>24</v>
      </c>
      <c r="E210" s="330"/>
      <c r="F210" s="331"/>
      <c r="G210" s="294">
        <f t="shared" ref="G210:H210" si="25">G209</f>
        <v>140995</v>
      </c>
      <c r="H210" s="295">
        <f t="shared" si="25"/>
        <v>141000</v>
      </c>
      <c r="I210" s="295">
        <f>SUM(I209)</f>
        <v>142262.17000000001</v>
      </c>
      <c r="J210" s="295">
        <f>SUM(J209)</f>
        <v>145000</v>
      </c>
      <c r="K210" s="295">
        <f>SUM(K209)</f>
        <v>143000</v>
      </c>
      <c r="L210" s="316">
        <f t="shared" ref="L210:M210" si="26">L209</f>
        <v>165224</v>
      </c>
      <c r="M210" s="317">
        <f t="shared" si="26"/>
        <v>166224</v>
      </c>
      <c r="N210" s="318">
        <f>N209</f>
        <v>168224</v>
      </c>
    </row>
    <row r="211" spans="3:14" x14ac:dyDescent="0.3">
      <c r="C211" s="245"/>
      <c r="D211" s="319"/>
      <c r="E211" s="239"/>
      <c r="F211" s="240"/>
      <c r="G211" s="320"/>
      <c r="H211" s="321"/>
      <c r="I211" s="321"/>
      <c r="J211" s="321"/>
      <c r="K211" s="321"/>
      <c r="L211" s="322"/>
      <c r="M211" s="323"/>
      <c r="N211" s="253"/>
    </row>
    <row r="212" spans="3:14" x14ac:dyDescent="0.3">
      <c r="C212" s="245"/>
      <c r="D212" s="246"/>
      <c r="E212" s="258"/>
      <c r="F212" s="248"/>
      <c r="G212" s="249"/>
      <c r="H212" s="250"/>
      <c r="I212" s="250"/>
      <c r="J212" s="250"/>
      <c r="K212" s="250"/>
      <c r="L212" s="251"/>
      <c r="M212" s="252"/>
      <c r="N212" s="253"/>
    </row>
    <row r="213" spans="3:14" x14ac:dyDescent="0.3">
      <c r="C213" s="245"/>
      <c r="D213" s="296" t="s">
        <v>59</v>
      </c>
      <c r="E213" s="258"/>
      <c r="F213" s="248"/>
      <c r="G213" s="249"/>
      <c r="H213" s="250"/>
      <c r="I213" s="250"/>
      <c r="J213" s="250"/>
      <c r="K213" s="250"/>
      <c r="L213" s="251"/>
      <c r="M213" s="252"/>
      <c r="N213" s="253"/>
    </row>
    <row r="214" spans="3:14" x14ac:dyDescent="0.3">
      <c r="C214" s="245"/>
      <c r="D214" s="296"/>
      <c r="E214" s="258"/>
      <c r="F214" s="248" t="s">
        <v>131</v>
      </c>
      <c r="G214" s="274">
        <v>0</v>
      </c>
      <c r="H214" s="256">
        <v>4000</v>
      </c>
      <c r="I214" s="256"/>
      <c r="J214" s="256">
        <v>0</v>
      </c>
      <c r="K214" s="256"/>
      <c r="L214" s="260">
        <v>0</v>
      </c>
      <c r="M214" s="276">
        <v>0</v>
      </c>
      <c r="N214" s="257">
        <v>0</v>
      </c>
    </row>
    <row r="215" spans="3:14" x14ac:dyDescent="0.3">
      <c r="C215" s="245"/>
      <c r="D215" s="246"/>
      <c r="E215" s="258"/>
      <c r="F215" s="248" t="s">
        <v>229</v>
      </c>
      <c r="G215" s="274">
        <v>177037.2</v>
      </c>
      <c r="H215" s="256">
        <f>177282+18500</f>
        <v>195782</v>
      </c>
      <c r="I215" s="256">
        <v>228269.02</v>
      </c>
      <c r="J215" s="256">
        <v>219404</v>
      </c>
      <c r="K215" s="256"/>
      <c r="L215" s="260">
        <v>219743</v>
      </c>
      <c r="M215" s="276">
        <v>236012</v>
      </c>
      <c r="N215" s="257">
        <v>258001</v>
      </c>
    </row>
    <row r="216" spans="3:14" x14ac:dyDescent="0.3">
      <c r="C216" s="245"/>
      <c r="D216" s="246"/>
      <c r="E216" s="258"/>
      <c r="F216" s="248" t="s">
        <v>60</v>
      </c>
      <c r="G216" s="274">
        <v>30093.37</v>
      </c>
      <c r="H216" s="256">
        <v>8000</v>
      </c>
      <c r="I216" s="256">
        <f>16984+7944.52+1070.31+4665.68+869.49</f>
        <v>31534.000000000004</v>
      </c>
      <c r="J216" s="256">
        <f>149179</f>
        <v>149179</v>
      </c>
      <c r="K216" s="256"/>
      <c r="L216" s="260">
        <f>152946-4000</f>
        <v>148946</v>
      </c>
      <c r="M216" s="276">
        <v>162723</v>
      </c>
      <c r="N216" s="257">
        <v>177877</v>
      </c>
    </row>
    <row r="217" spans="3:14" x14ac:dyDescent="0.3">
      <c r="C217" s="245"/>
      <c r="D217" s="246"/>
      <c r="E217" s="258"/>
      <c r="F217" s="248" t="s">
        <v>144</v>
      </c>
      <c r="G217" s="274">
        <f>7561.05+728</f>
        <v>8289.0499999999993</v>
      </c>
      <c r="H217" s="256">
        <v>0</v>
      </c>
      <c r="I217" s="256">
        <v>15163.4</v>
      </c>
      <c r="J217" s="256">
        <v>0</v>
      </c>
      <c r="K217" s="256"/>
      <c r="L217" s="260">
        <v>0</v>
      </c>
      <c r="M217" s="276">
        <v>0</v>
      </c>
      <c r="N217" s="257">
        <v>0</v>
      </c>
    </row>
    <row r="218" spans="3:14" x14ac:dyDescent="0.3">
      <c r="C218" s="245"/>
      <c r="D218" s="246"/>
      <c r="E218" s="258"/>
      <c r="F218" s="248" t="s">
        <v>61</v>
      </c>
      <c r="G218" s="274">
        <f>9413.59-22.59</f>
        <v>9391</v>
      </c>
      <c r="H218" s="256">
        <v>11350</v>
      </c>
      <c r="I218" s="256">
        <v>13100.2</v>
      </c>
      <c r="J218" s="256">
        <v>3500</v>
      </c>
      <c r="K218" s="256"/>
      <c r="L218" s="260">
        <v>4000</v>
      </c>
      <c r="M218" s="276">
        <v>4000</v>
      </c>
      <c r="N218" s="257">
        <v>4000</v>
      </c>
    </row>
    <row r="219" spans="3:14" x14ac:dyDescent="0.3">
      <c r="C219" s="245"/>
      <c r="D219" s="246"/>
      <c r="E219" s="258"/>
      <c r="F219" s="248" t="s">
        <v>242</v>
      </c>
      <c r="G219" s="274">
        <f>177259.42+681.92</f>
        <v>177941.34000000003</v>
      </c>
      <c r="H219" s="256">
        <f>196001+14236-33536+2000-4189</f>
        <v>174512</v>
      </c>
      <c r="I219" s="256">
        <v>174534.67</v>
      </c>
      <c r="J219" s="256">
        <v>93161</v>
      </c>
      <c r="K219" s="256"/>
      <c r="L219" s="260">
        <f>90929-3500</f>
        <v>87429</v>
      </c>
      <c r="M219" s="276">
        <v>93312</v>
      </c>
      <c r="N219" s="257">
        <v>102888</v>
      </c>
    </row>
    <row r="220" spans="3:14" x14ac:dyDescent="0.3">
      <c r="C220" s="245"/>
      <c r="D220" s="246"/>
      <c r="E220" s="258"/>
      <c r="F220" s="248" t="s">
        <v>230</v>
      </c>
      <c r="G220" s="274">
        <v>0</v>
      </c>
      <c r="H220" s="256">
        <v>0</v>
      </c>
      <c r="I220" s="256"/>
      <c r="J220" s="256"/>
      <c r="K220" s="256"/>
      <c r="L220" s="251">
        <v>3500</v>
      </c>
      <c r="M220" s="252">
        <v>3500</v>
      </c>
      <c r="N220" s="257">
        <v>3500</v>
      </c>
    </row>
    <row r="221" spans="3:14" x14ac:dyDescent="0.3">
      <c r="C221" s="245"/>
      <c r="D221" s="246"/>
      <c r="E221" s="258"/>
      <c r="F221" s="248" t="s">
        <v>62</v>
      </c>
      <c r="G221" s="274">
        <f>10537+13000</f>
        <v>23537</v>
      </c>
      <c r="H221" s="256">
        <v>27000</v>
      </c>
      <c r="I221" s="256">
        <v>10525.47</v>
      </c>
      <c r="J221" s="256">
        <v>18000</v>
      </c>
      <c r="K221" s="256"/>
      <c r="L221" s="251">
        <f>18500+16000</f>
        <v>34500</v>
      </c>
      <c r="M221" s="252">
        <f>18500+16000</f>
        <v>34500</v>
      </c>
      <c r="N221" s="257">
        <f>18500+16000</f>
        <v>34500</v>
      </c>
    </row>
    <row r="222" spans="3:14" x14ac:dyDescent="0.3">
      <c r="C222" s="245"/>
      <c r="D222" s="332" t="s">
        <v>24</v>
      </c>
      <c r="E222" s="333"/>
      <c r="F222" s="334"/>
      <c r="G222" s="335">
        <f>SUM(G215:G221)</f>
        <v>426288.96</v>
      </c>
      <c r="H222" s="336">
        <f>SUM(H214:H221)</f>
        <v>420644</v>
      </c>
      <c r="I222" s="336">
        <f>SUM(I214:I221)</f>
        <v>473126.76</v>
      </c>
      <c r="J222" s="336">
        <f>SUM(J215:J221)</f>
        <v>483244</v>
      </c>
      <c r="K222" s="336">
        <v>480000</v>
      </c>
      <c r="L222" s="336">
        <f>SUM(L214:L221)</f>
        <v>498118</v>
      </c>
      <c r="M222" s="336">
        <f t="shared" ref="M222:N222" si="27">SUM(M214:M221)</f>
        <v>534047</v>
      </c>
      <c r="N222" s="336">
        <f t="shared" si="27"/>
        <v>580766</v>
      </c>
    </row>
    <row r="223" spans="3:14" ht="15" thickBot="1" x14ac:dyDescent="0.35">
      <c r="C223" s="245"/>
      <c r="D223" s="303"/>
      <c r="E223" s="304"/>
      <c r="F223" s="325"/>
      <c r="G223" s="305"/>
      <c r="H223" s="326"/>
      <c r="I223" s="326"/>
      <c r="J223" s="326"/>
      <c r="K223" s="326"/>
      <c r="L223" s="337"/>
      <c r="M223" s="338"/>
      <c r="N223" s="253"/>
    </row>
    <row r="224" spans="3:14" ht="15" thickBot="1" x14ac:dyDescent="0.35">
      <c r="C224" s="339"/>
      <c r="D224" s="340" t="s">
        <v>63</v>
      </c>
      <c r="E224" s="341"/>
      <c r="F224" s="342"/>
      <c r="G224" s="343">
        <f>G183+G205+G210+G222</f>
        <v>995948.41999999993</v>
      </c>
      <c r="H224" s="344">
        <f>H183+H205+H210+H222</f>
        <v>1078974</v>
      </c>
      <c r="I224" s="344">
        <f>I183+I205+I210+I222</f>
        <v>1028827.7799999999</v>
      </c>
      <c r="J224" s="344">
        <f>J183+J205+J210+J222</f>
        <v>1127195</v>
      </c>
      <c r="K224" s="345">
        <f>K222+K210+K205+K182+K176+K166+K160+K149+K142+K132+K125+K115+K105+K100+K96+K90+K79+K72+K62+K57+K52+K48+K38+K31+K16</f>
        <v>1169012.3500000001</v>
      </c>
      <c r="L224" s="344">
        <f>L183+L205+L210+L222</f>
        <v>2305723</v>
      </c>
      <c r="M224" s="346">
        <f>M183+M205+M210+M222</f>
        <v>1220137</v>
      </c>
      <c r="N224" s="346">
        <f>N183+N205+N210+N222</f>
        <v>1279787</v>
      </c>
    </row>
  </sheetData>
  <mergeCells count="1">
    <mergeCell ref="C2:E2"/>
  </mergeCells>
  <pageMargins left="0.25" right="0.25" top="0.75" bottom="0.75" header="0.3" footer="0.3"/>
  <pageSetup paperSize="9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Súhrn</vt:lpstr>
      <vt:lpstr>Príjmy</vt:lpstr>
      <vt:lpstr>Výdavky</vt:lpstr>
      <vt:lpstr>Príjmy!Oblasť_tlače</vt:lpstr>
      <vt:lpstr>Výdavky!Oblasť_tlače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2023-12-03T09:39:53Z</dcterms:created>
  <dcterms:modified xsi:type="dcterms:W3CDTF">2025-10-31T07:29:20Z</dcterms:modified>
</cp:coreProperties>
</file>